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PardeyJ\Downloads\"/>
    </mc:Choice>
  </mc:AlternateContent>
  <xr:revisionPtr revIDLastSave="0" documentId="8_{C5E7F0D1-1773-4C61-A981-D774516232F2}" xr6:coauthVersionLast="47" xr6:coauthVersionMax="47" xr10:uidLastSave="{00000000-0000-0000-0000-000000000000}"/>
  <workbookProtection workbookAlgorithmName="SHA-512" workbookHashValue="QQCHg3rRWvBH8Vcm+Y5zbmVrr2OTpr/Y5nmYojZeg0o23MJ/Vys7JwptCEnENDV2jikeMEYfqou+9obTbze9EQ==" workbookSaltValue="qL6OA1BHDe4Y1G4Xkot6sg==" workbookSpinCount="100000" lockStructure="1"/>
  <bookViews>
    <workbookView xWindow="-120" yWindow="-120" windowWidth="29040" windowHeight="15720" tabRatio="895" firstSheet="10" activeTab="10" xr2:uid="{00000000-000D-0000-FFFF-FFFF00000000}"/>
  </bookViews>
  <sheets>
    <sheet name="Introduction" sheetId="264" r:id="rId1"/>
    <sheet name="Revision" sheetId="280" r:id="rId2"/>
    <sheet name="Checklist" sheetId="260" r:id="rId3"/>
    <sheet name="Key Changes since last RCE" sheetId="258" r:id="rId4"/>
    <sheet name="RCE Summary" sheetId="251" r:id="rId5"/>
    <sheet name="Infrastructure - Mine Entries" sheetId="272" r:id="rId6"/>
    <sheet name="Infrastructure Area" sheetId="224" r:id="rId7"/>
    <sheet name="Beneficiation Facility" sheetId="279" r:id="rId8"/>
    <sheet name="Tailings Storage Facilities" sheetId="219" r:id="rId9"/>
    <sheet name="Water Management Areas" sheetId="273" r:id="rId10"/>
    <sheet name="Overburden Emplacement Area" sheetId="278" r:id="rId11"/>
    <sheet name="Active Mining Area" sheetId="220" r:id="rId12"/>
    <sheet name="Underground Mining Area" sheetId="228" r:id="rId13"/>
    <sheet name="Exploration" sheetId="275" r:id="rId14"/>
    <sheet name="Other and Sundry" sheetId="250" r:id="rId15"/>
    <sheet name="Cost Schedule" sheetId="218" r:id="rId16"/>
    <sheet name="Rates" sheetId="204" r:id="rId17"/>
    <sheet name="Productivity" sheetId="213" r:id="rId18"/>
    <sheet name="Assumptions - General" sheetId="194" r:id="rId19"/>
    <sheet name="Assumptions - Capping" sheetId="271" r:id="rId20"/>
    <sheet name="Rate Mapping" sheetId="265" r:id="rId21"/>
    <sheet name="User Notes" sheetId="242" r:id="rId22"/>
    <sheet name="Lists" sheetId="64" r:id="rId23"/>
  </sheets>
  <definedNames>
    <definedName name="_xlnm._FilterDatabase" localSheetId="7" hidden="1">'Beneficiation Facility'!$B$270:$B$501</definedName>
    <definedName name="_xlnm._FilterDatabase" localSheetId="15" hidden="1">'Cost Schedule'!$C$6:$G$6</definedName>
    <definedName name="_xlnm._FilterDatabase" localSheetId="13" hidden="1">Exploration!$B$78:$B$241</definedName>
    <definedName name="_xlnm._FilterDatabase" localSheetId="6" hidden="1">'Infrastructure Area'!$B$237:$B$428</definedName>
    <definedName name="_xlnm._FilterDatabase" localSheetId="10" hidden="1">'Overburden Emplacement Area'!$B$18:$B$291</definedName>
    <definedName name="_xlnm._FilterDatabase" localSheetId="16" hidden="1">Rates!$A$1:$AL$214</definedName>
    <definedName name="_xlnm._FilterDatabase" localSheetId="8" hidden="1">'Tailings Storage Facilities'!$B$32:$B$317</definedName>
    <definedName name="_xlnm._FilterDatabase" localSheetId="9" hidden="1">'Water Management Areas'!$B$79:$B$225</definedName>
    <definedName name="Above_ground">Lists!$B$231</definedName>
    <definedName name="Acid_sulphate_soil_liming_rate">'Assumptions - General'!$C$38</definedName>
    <definedName name="Active_Mining_Area__Open_Cut_Void">'Active Mining Area'!$B$6</definedName>
    <definedName name="Activity__Dams">#REF!</definedName>
    <definedName name="Activity__Dozer_Bulk_Push_per_LCM">#REF!</definedName>
    <definedName name="Activity__Dozer_Rip">#REF!</definedName>
    <definedName name="Activity__Grader_Rip_and_Trim">#REF!</definedName>
    <definedName name="Activity__Mobilisation___Exploration_and_Quarries">#REF!</definedName>
    <definedName name="Activity_Ameliorants">#REF!</definedName>
    <definedName name="Activity_Bores">#REF!</definedName>
    <definedName name="Activity_Buildings">#REF!</definedName>
    <definedName name="Activity_Capping">#REF!</definedName>
    <definedName name="Activity_Capping_Investigations_studies_closure_planning_design_and_engineering">#REF!</definedName>
    <definedName name="Activity_Care_and_Maintenance">#REF!</definedName>
    <definedName name="Activity_Clear_Vegetation_scrub">#REF!</definedName>
    <definedName name="Activity_Construct_crest_cell_and_crest_bunding">#REF!</definedName>
    <definedName name="Activity_Construct_Landform_and_other_drainage">#REF!</definedName>
    <definedName name="Activity_Construct_open_pit_abandonment_bunding__excavate_and_place">#REF!</definedName>
    <definedName name="Activity_Contaminated_Materials_Dispose_Off_site">#REF!</definedName>
    <definedName name="Activity_Contamination">#REF!</definedName>
    <definedName name="Activity_Conveyors">#REF!</definedName>
    <definedName name="Activity_Crush_concrete">#REF!</definedName>
    <definedName name="Activity_Demolish_concrete_hardstand">#REF!</definedName>
    <definedName name="Activity_Disconnect_Utilities_Demolish_and_remove_equipment">#REF!</definedName>
    <definedName name="Activity_Drill_and_Blast">#REF!</definedName>
    <definedName name="Activity_Excavate_Impacted_Soil_and_Stockpile">#REF!</definedName>
    <definedName name="Activity_facilities_sub_rates_large_items_skids_containers">#REF!</definedName>
    <definedName name="Activity_Fencing">#REF!</definedName>
    <definedName name="Activity_HAZMAT">#REF!</definedName>
    <definedName name="Activity_Heliostats_and_Panels">#REF!</definedName>
    <definedName name="Activity_Investigations__Operation_and_Maintenance__Testing">#REF!</definedName>
    <definedName name="Activity_Investigations_OM_testing">#REF!</definedName>
    <definedName name="Activity_Lattice_Structures_and_Ancillary_Facilities">#REF!</definedName>
    <definedName name="Activity_Linear_Structures_pipeline_and_cable_tray">#REF!</definedName>
    <definedName name="Activity_Load_and_Transport_Concrete">#REF!</definedName>
    <definedName name="Activity_Load_and_Transport_Oil">#REF!</definedName>
    <definedName name="Activity_Load_and_Transport_Water">#REF!</definedName>
    <definedName name="Activity_Load_haul_and_dump_soil_and_amendments">#REF!</definedName>
    <definedName name="Activity_Load_haul_dump_bitumen_stabilised_materials_concrete_small_fleet_dispose_onsite_void">#REF!</definedName>
    <definedName name="Activity_Load_haul_dump_concrete_solid_waste">#REF!</definedName>
    <definedName name="Activity_Load_haul_dump_soil_around_site_small_fleet">#REF!</definedName>
    <definedName name="Activity_Load_Haul_Dump_Spread_Fill_Large_Fleet">#REF!</definedName>
    <definedName name="Activity_Load_Haul_Dump_Spread_Fill_Medium_Fleet">#REF!</definedName>
    <definedName name="Activity_Load_Haul_Dump_Spread_Fill_small_Fleet">#REF!</definedName>
    <definedName name="Activity_Load_haul_dump_steel_scrap">#REF!</definedName>
    <definedName name="Activity_Load_Haul_Long_Distance_Summary">#REF!</definedName>
    <definedName name="Activity_Load_Haul_Summary">#REF!</definedName>
    <definedName name="Activity_Load_Transport_Major_Module">#REF!</definedName>
    <definedName name="Activity_Loading_Plant">#REF!</definedName>
    <definedName name="Activity_Maintenance_Minor_and_of_Rehabilitated_Areas">#REF!</definedName>
    <definedName name="Activity_Mobilisation">#REF!</definedName>
    <definedName name="Activity_Overpasses">#REF!</definedName>
    <definedName name="Activity_planting_seeding">#REF!</definedName>
    <definedName name="Activity_Power_Poles_and_Cables">#REF!</definedName>
    <definedName name="Activity_Project_Closure_Plans">#REF!</definedName>
    <definedName name="Activity_Rail">#REF!</definedName>
    <definedName name="Activity_Roads_Tracks_Laydown">#REF!</definedName>
    <definedName name="Activity_Shape_and_doze_to_establish_drainage___spread_cover">#REF!</definedName>
    <definedName name="Activity_Site_Security">#REF!</definedName>
    <definedName name="Activity_Substations">#REF!</definedName>
    <definedName name="Activity_Tailings_Storage_Facilities_Waste_Rock_Dumps__Heap_Leach_Pads">#REF!</definedName>
    <definedName name="Activity_Tanks_and_Vessels">#REF!</definedName>
    <definedName name="Activity_Top_Soil_Application_for_Defaults">#REF!</definedName>
    <definedName name="Activity_Tramming_with_Loader">#REF!</definedName>
    <definedName name="Activity_Underground_Mines">#REF!</definedName>
    <definedName name="Activity_Waste_dump__spoil_dump__TSF_embankment_slope_re_profiling_and_shaping__10_20_degree_slope_angles">#REF!</definedName>
    <definedName name="Activity_Water_Treatment">#REF!</definedName>
    <definedName name="Admin_labour">Rates!$B$35</definedName>
    <definedName name="Admin_labour_rate">Rates!$C$35</definedName>
    <definedName name="Air_Compressor___tools">Rates!$B$123</definedName>
    <definedName name="Air_compressor_and_tools_rate">Rates!$C$123</definedName>
    <definedName name="Airstrip_names_CS">'Cost Schedule'!$C$1100:$C$1101</definedName>
    <definedName name="Airstrip_rates_CS">'Cost Schedule'!$D$1100:$D$1101</definedName>
    <definedName name="Airstrip_units_CS">'Cost Schedule'!$E$1100:$E$1101</definedName>
    <definedName name="Airstrip_width">'Assumptions - General'!$C$94</definedName>
    <definedName name="Airstrip_with_gravel_thickness">'Assumptions - General'!$C$95</definedName>
    <definedName name="Aluminium_density">'Assumptions - General'!$C$73</definedName>
    <definedName name="Ameliorants">Lists!$B$12</definedName>
    <definedName name="Ameliorants_names_CS">'Cost Schedule'!$C$9:$C$15</definedName>
    <definedName name="Ameliorants_rates_CS">'Cost Schedule'!$D$9:$D$15</definedName>
    <definedName name="Ameliorants_soil_L">Lists!$B$17:$B$24</definedName>
    <definedName name="Ameliorants_supply_distance">'Assumptions - General'!$C$26</definedName>
    <definedName name="Ammonium_Nitrate">Lists!$B$24</definedName>
    <definedName name="Ammonium_nitrate_rate">Rates!$C$136</definedName>
    <definedName name="Analysis_Asbestos_analysis">Rates!$B$99</definedName>
    <definedName name="Analysis_Asbestos_analysis_rate">Rates!$C$99</definedName>
    <definedName name="Analysis_Asbestos_presence">Rates!$B$98</definedName>
    <definedName name="Analysis_Asbestos_presence_rate">Rates!$C$98</definedName>
    <definedName name="Analysis_dupes_rate">Rates!$C$104</definedName>
    <definedName name="Analysis_duplicates">Rates!$B$104</definedName>
    <definedName name="Analysis_matrix_rate">Rates!$C$105</definedName>
    <definedName name="Analysis_matrix_spikes">Rates!$B$105</definedName>
    <definedName name="Analysis_NSW_exc_rate">Rates!$C$97</definedName>
    <definedName name="Analysis_NSW_Excavated_Material">Rates!$B$97</definedName>
    <definedName name="Analysis_PCB">Rates!$B$102</definedName>
    <definedName name="Analysis_PCB_rate">Rates!$C$102</definedName>
    <definedName name="Analysis_Pesticides">Rates!$B$103</definedName>
    <definedName name="Analysis_Pesticides_rate">Rates!$C$103</definedName>
    <definedName name="Analysis_PFAS">Rates!$B$100</definedName>
    <definedName name="Analysis_PFAS_rate">Rates!$C$100</definedName>
    <definedName name="Analysis_Radionuclides">Rates!$B$101</definedName>
    <definedName name="Analysis_Radionuclides_rate">Rates!$C$101</definedName>
    <definedName name="Analysis_rinsate">Rates!$B$107</definedName>
    <definedName name="Analysis_rinsate_rate">Rates!$C$107</definedName>
    <definedName name="Analysis_trip_blanks">Rates!$B$106</definedName>
    <definedName name="Analysis_trip_rate">Rates!$C$106</definedName>
    <definedName name="Anchors">Rates!$B$18</definedName>
    <definedName name="Anchors_rate">Rates!$C$18</definedName>
    <definedName name="Area">Lists!$B$120</definedName>
    <definedName name="Area_measure_L">Lists!$B$27:$B$30</definedName>
    <definedName name="Arid">Lists!$B$249</definedName>
    <definedName name="Asbestos_from_buildings">Lists!$B$354</definedName>
    <definedName name="Asbestos_from_buildings_gate_fee">Rates!$B$198</definedName>
    <definedName name="Asbestos_from_pipe">Lists!$B$355</definedName>
    <definedName name="Asbestos_from_pipe_gate_fee">Rates!$B$199</definedName>
    <definedName name="Asbestos_in_soil">Lists!$B$353</definedName>
    <definedName name="Asbestos_in_soil_disposal_distance">'Assumptions - General'!$C$129</definedName>
    <definedName name="Asbestos_in_soil_disposal_gate_fee">Rates!$B$197</definedName>
    <definedName name="Asbestos_in_soil_disposal_gate_fee_rate">Rates!$C$197</definedName>
    <definedName name="Asbestos_pipe_specific_density">'Assumptions - General'!$C$75</definedName>
    <definedName name="Asbestos_sheet_density">'Assumptions - General'!$C$74</definedName>
    <definedName name="Asbestos_sheet_specific_density">'Assumptions - General'!$C$74</definedName>
    <definedName name="Asphalt_Disposal_distance">'Assumptions - General'!#REF!</definedName>
    <definedName name="Asphalt_gravel_thickness">'Assumptions - General'!$C$32</definedName>
    <definedName name="Associate_Consultant">Rates!$B$29</definedName>
    <definedName name="Associate_Consultant_rate">Rates!$C$29</definedName>
    <definedName name="Assumptions_names">'Assumptions - General'!$B$49:$B$65</definedName>
    <definedName name="Assumptions_Unit">'Assumptions - General'!$D$49:$D$65</definedName>
    <definedName name="Assumptions_value">'Assumptions - General'!$C$49:$C$65</definedName>
    <definedName name="Auditor___Director">Rates!$B$33</definedName>
    <definedName name="Auditor_director_rate">Rates!$C$33</definedName>
    <definedName name="Backhoe_420F">Rates!$B$7</definedName>
    <definedName name="Backhoe_420F_rate">Rates!$C$7</definedName>
    <definedName name="Backhoe_428F_4WD">Rates!$B$8</definedName>
    <definedName name="Backhoe_428F_rate">Rates!$C$8</definedName>
    <definedName name="Backhoe_attachments">Rates!$B$9</definedName>
    <definedName name="Backhoe_attachments_rate">Rates!$C$9</definedName>
    <definedName name="Bailers">Rates!$B$91</definedName>
    <definedName name="Bailers_rate">Rates!$C$91</definedName>
    <definedName name="Begin">'Cost Schedule'!$B$8</definedName>
    <definedName name="Beneficiation_Facility">'Beneficiation Facility'!$C$5</definedName>
    <definedName name="Biopile_minimum_volume_for_lump_sum_cost">'Assumptions - General'!$C$37</definedName>
    <definedName name="Biosolids__MSW__Manure">Lists!$B$19</definedName>
    <definedName name="Biosolids__MSW__Manure_rate">Rates!$C$131</definedName>
    <definedName name="Biosolids_application_rate">'Assumptions - General'!$C$7</definedName>
    <definedName name="Bitumen">Lists!$B$298</definedName>
    <definedName name="Blast_Hole_Drill_Rig__rate">Rates!$C$52</definedName>
    <definedName name="Bore_infra_names_A">#REF!</definedName>
    <definedName name="Bore_infra_rates_A">#REF!</definedName>
    <definedName name="Bore_infra_units_A">#REF!</definedName>
    <definedName name="Bores_and_sumps_names_L">Lists!$B$45:$B$57</definedName>
    <definedName name="Bores_explore_names_A">#REF!</definedName>
    <definedName name="Bores_explore_names_CS">'Cost Schedule'!$C$22:$C$27</definedName>
    <definedName name="Bores_explore_rates_A">#REF!</definedName>
    <definedName name="Bores_explore_rates_CS">'Cost Schedule'!$D$22:$D$27</definedName>
    <definedName name="Bores_explore_units_A">#REF!</definedName>
    <definedName name="Bores_explore_units_CS">'Cost Schedule'!$E$22:$E$27</definedName>
    <definedName name="Bores_infra_names_CS">'Cost Schedule'!$C$17:$C$21</definedName>
    <definedName name="Bores_infra_rates_CS">'Cost Schedule'!$D$17:$D$21</definedName>
    <definedName name="Bores_infra_units_CS">'Cost Schedule'!$E$17:$E$21</definedName>
    <definedName name="Borrow_Pit">Lists!$B$151</definedName>
    <definedName name="Brick">Lists!$B$198</definedName>
    <definedName name="Brine_disposal_rate">Rates!$C$204</definedName>
    <definedName name="Bucket_Wheel">Lists!$B$171</definedName>
    <definedName name="Building_type_L">Lists!$B$33:$B$42</definedName>
    <definedName name="Buildings_beneficiation_names_CS">'Cost Schedule'!$C$39:$C$42</definedName>
    <definedName name="Buildings_beneficiation_rates_CS">'Cost Schedule'!$D$39:$D$42</definedName>
    <definedName name="Buildings_beneficiation_units_CS">'Cost Schedule'!$E$39:$E$42</definedName>
    <definedName name="Buildings_names_CS">'Cost Schedule'!$C$29:$C$37</definedName>
    <definedName name="Buildings_rates_CS">'Cost Schedule'!$D$29:$D$37</definedName>
    <definedName name="Buildings_units_CS">'Cost Schedule'!$E$29:$E$37</definedName>
    <definedName name="Bund_base_width">'Assumptions - General'!$C$81</definedName>
    <definedName name="Bund_footprint_additional_width_to_prepare">'Assumptions - General'!$C$83</definedName>
    <definedName name="Bund_height">'Assumptions - General'!$C$79</definedName>
    <definedName name="Bund_Swell">'Assumptions - General'!$C$82</definedName>
    <definedName name="Bund_top_width">'Assumptions - General'!$C$80</definedName>
    <definedName name="Buried">Lists!$B$230</definedName>
    <definedName name="Buried_tank_steel_thickness">'Assumptions - General'!$C$121</definedName>
    <definedName name="Capping_clay">Lists!$B$60</definedName>
    <definedName name="Capping_clay_purchase">Rates!$B$11</definedName>
    <definedName name="Capping_clay_purchase_rate">Rates!$C$11</definedName>
    <definedName name="Capping_geosynthetic">Rates!$B$13</definedName>
    <definedName name="Capping_geosynthetic_rate">Rates!$C$13</definedName>
    <definedName name="Capping_geotextile_Bidim_A24">Rates!$B$12</definedName>
    <definedName name="Capping_geotextile_Bidim_A24_rate">Rates!$C$12</definedName>
    <definedName name="Capping_HDPE_2mm">Rates!$B$14</definedName>
    <definedName name="Capping_HDPE_2mm_rate">Rates!$C$14</definedName>
    <definedName name="Capping_risk_level_HLP_L">Lists!$B$69:$B$72</definedName>
    <definedName name="Capping_risk_level_WRD_L">Lists!$B$67:$B$72</definedName>
    <definedName name="Capping_risk_levels_TSF_L">Lists!$B$69:$B$73</definedName>
    <definedName name="Capping_studies_names_A">#REF!</definedName>
    <definedName name="Capping_studies_rates_A">#REF!</definedName>
    <definedName name="Capping_TSF_risk_level_CS">'Cost Schedule'!$F$54:$F$57</definedName>
    <definedName name="Capping_TSF_risk_level_rate_CS">'Cost Schedule'!$D$54:$D$57</definedName>
    <definedName name="Care_and_Maintenance_names_CS">'Cost Schedule'!$C$68:$C$69</definedName>
    <definedName name="Care_and_Maintenance_rates_CS">'Cost Schedule'!$D$68:$D$69</definedName>
    <definedName name="Checklist_for_Title_Holders">Checklist!$B$5</definedName>
    <definedName name="Circle">Lists!$B$28</definedName>
    <definedName name="Clay_source">Lists!$B$63:$B$64</definedName>
    <definedName name="Clean_water_retained_names_CS">'Cost Schedule'!$C$195:$C$196</definedName>
    <definedName name="Clean_water_retained_rates_CS">'Cost Schedule'!$D$195:$D$196</definedName>
    <definedName name="Closure_plans_names_CS">'Cost Schedule'!$C$73:$C$78</definedName>
    <definedName name="Closure_plans_rates_CS">'Cost Schedule'!$D$73:$D$78</definedName>
    <definedName name="Closure_plans_unit_CS">'Cost Schedule'!$E$73:$E$78</definedName>
    <definedName name="Compactor_533_sheepsfoot_rate">Rates!$C$22</definedName>
    <definedName name="Compactor_633_sheepsfoot_rate">Rates!$C$23</definedName>
    <definedName name="Compactor_633_vibratory_rate">Rates!$C$21</definedName>
    <definedName name="Compactor_CP533E_Sheepsfoot">Rates!$B$22</definedName>
    <definedName name="Compactor_CP633E_Sheepsfoot">Rates!$B$23</definedName>
    <definedName name="Compactor_CS633E_Vibratory">Rates!$B$21</definedName>
    <definedName name="Compactor_plate">Rates!$B$24</definedName>
    <definedName name="Compactor_plate_rate">Rates!$C$24</definedName>
    <definedName name="CompanyName">'RCE Summary'!$E$16</definedName>
    <definedName name="Concrete">Lists!$B$197</definedName>
    <definedName name="Concrete_base">Lists!$B$327</definedName>
    <definedName name="Concrete_break_rate">Productivity!$D$67</definedName>
    <definedName name="Concrete_break_rate_overpass">Productivity!$D$68</definedName>
    <definedName name="Concrete_crush_30mm">Productivity!$D$13</definedName>
    <definedName name="Concrete_crush_50mm">Productivity!$D$12</definedName>
    <definedName name="Concrete_crush_75mm">Productivity!$D$11</definedName>
    <definedName name="Concrete_crush_names_CS">'Cost Schedule'!$C$82:$C$84</definedName>
    <definedName name="Concrete_crush_rates_CS">'Cost Schedule'!$D$82:$D$84</definedName>
    <definedName name="Concrete_crushing_plant">Rates!$B$26</definedName>
    <definedName name="Concrete_crushing_plant_rate">Rates!$C$26</definedName>
    <definedName name="Concrete_density">'Assumptions - General'!$C$71</definedName>
    <definedName name="Concrete_disposal_distance">'Assumptions - General'!$C$130</definedName>
    <definedName name="Concrete_dispose_distance_range">#REF!</definedName>
    <definedName name="Concrete_for_holes">Rates!$B$79</definedName>
    <definedName name="Concrete_for_holes_rate">Rates!$C$79</definedName>
    <definedName name="Concrete_plug_thickness">'Assumptions - General'!$C$125</definedName>
    <definedName name="Concrete_pumping_rate">Productivity!$D$15</definedName>
    <definedName name="Concrete_rail_loading_bin_thickness">'Assumptions - General'!$C$120</definedName>
    <definedName name="Concrete_ring_tank">Lists!$B$304</definedName>
    <definedName name="Concrete_roof">Lists!$B$321</definedName>
    <definedName name="Concrete_rubble_debris_disposal">Lists!$B$349</definedName>
    <definedName name="Concrete_rubble_debris_disposal_gate_fee">Rates!$B$193</definedName>
    <definedName name="Concrete_rubble_debris_disposal_gate_fee_rate">Rates!$C$193</definedName>
    <definedName name="Concrete_slab_thickness_transformer">'Assumptions - General'!$C$31</definedName>
    <definedName name="Concrete_solids_distance_range">#REF!</definedName>
    <definedName name="Concrete_truck">Rates!$B$177</definedName>
    <definedName name="Concrete_truck_capacity">Productivity!$D$14</definedName>
    <definedName name="Concrete_truck_packing_factor">#REF!</definedName>
    <definedName name="Concrete_truck_rate">Rates!$C$177</definedName>
    <definedName name="Concrete_wall">Lists!$B$315</definedName>
    <definedName name="Cone_penetrometer">Rates!$B$19</definedName>
    <definedName name="Cone_penetrometer_rate">Rates!$C$19</definedName>
    <definedName name="Construction_labour">Rates!$B$184</definedName>
    <definedName name="Construction_labour_rate">Rates!$C$184</definedName>
    <definedName name="Container_list">Lists!$B$80:$B$83</definedName>
    <definedName name="Contaminated_land_studies_CS">'Cost Schedule'!$C$91:$C$95</definedName>
    <definedName name="Contaminated_land_studies_rates_CS">'Cost Schedule'!$D$91:$D$95</definedName>
    <definedName name="Contaminated_land_studies_units_CS">'Cost Schedule'!$E$91:$E$95</definedName>
    <definedName name="Contaminated_soil_names_CS">'Cost Schedule'!$C$88:$C$89</definedName>
    <definedName name="Contaminated_soil_rates_CS">'Cost Schedule'!$D$88:$D$89</definedName>
    <definedName name="Contaminated_soil_units_CS">'Cost Schedule'!$E$88:$E$89</definedName>
    <definedName name="Conv_AUD_to_USD">Rates!$V$4</definedName>
    <definedName name="Conv_g_in_kg">'Assumptions - General'!$C$57</definedName>
    <definedName name="conv_hrs_in_day">'Assumptions - General'!$C$55</definedName>
    <definedName name="conv_kilograms_in_tonne">'Assumptions - General'!$C$56</definedName>
    <definedName name="Conv_kph_to_mpermin">'Assumptions - General'!$C$59</definedName>
    <definedName name="Conv_L_in_kL">'Assumptions - General'!$C$61</definedName>
    <definedName name="Conv_L_in_ML">'Assumptions - General'!$C$60</definedName>
    <definedName name="conv_m_km">'Assumptions - General'!$C$51</definedName>
    <definedName name="Conv_mg_in_kg">'Assumptions - General'!$C$58</definedName>
    <definedName name="Conv_mins_in_hour">'Assumptions - General'!$C$53</definedName>
    <definedName name="Conv_mm_in_metres">'Assumptions - General'!$C$50</definedName>
    <definedName name="Conv_secs_in_min">'Assumptions - General'!$C$54</definedName>
    <definedName name="Conv_sqm_ha">'Assumptions - General'!$C$52</definedName>
    <definedName name="Conveyor_down_drift">Lists!$B$90</definedName>
    <definedName name="Conveyor_elevated">Lists!$B$87</definedName>
    <definedName name="Conveyor_on_ground">Lists!$B$86</definedName>
    <definedName name="Conveyor_overhead">Lists!$B$88</definedName>
    <definedName name="Conveyor_reclaim">Lists!$B$89</definedName>
    <definedName name="Conveyors_tunnels_names_CS">'Cost Schedule'!$C$98:$C$102</definedName>
    <definedName name="Conveyors_tunnels_rates_CS">'Cost Schedule'!$D$98:$D$102</definedName>
    <definedName name="COST_SCHEDULE">'Cost Schedule'!$C$4</definedName>
    <definedName name="Costs_Rates_Names_CS">'Cost Schedule'!$C$8:$C$1111</definedName>
    <definedName name="Cover_buy_install_tarp_anchors_CS">'Cost Schedule'!#REF!</definedName>
    <definedName name="Cover_HDPE_0.5_mm">Rates!$B$16</definedName>
    <definedName name="Cover_HDPE_0.5_mm_rate">Rates!$C$16</definedName>
    <definedName name="Crane_120_tonne">Rates!$B$42</definedName>
    <definedName name="Crane_120t_rate">Rates!$C$42</definedName>
    <definedName name="Crane_20_tonne">Rates!$B$40</definedName>
    <definedName name="Crane_20t_rate">Rates!$C$40</definedName>
    <definedName name="Crane_5_tonne">Rates!$B$39</definedName>
    <definedName name="Crane_50_tonne">Rates!$B$41</definedName>
    <definedName name="Crane_50t_rate">Rates!$C$41</definedName>
    <definedName name="Crane_5t_rate">Rates!$C$39</definedName>
    <definedName name="Crane_truck">Rates!$B$38</definedName>
    <definedName name="Crane_truck_rate">Rates!$C$38</definedName>
    <definedName name="Creek_diversions_names_CS">'Cost Schedule'!$C$107:$C$112</definedName>
    <definedName name="Creek_diversions_rates_CS">'Cost Schedule'!$D$107:$D$112</definedName>
    <definedName name="Dam_buffer_around_crest_for_grade_and_seed">'Assumptions - General'!$C$46</definedName>
    <definedName name="Dam_evap_names_CS">'Cost Schedule'!$C$168:$C$194</definedName>
    <definedName name="Dam_evap_rates_CS">'Cost Schedule'!$D$168:$D$194</definedName>
    <definedName name="Dam_evaporation">Lists!$B$98</definedName>
    <definedName name="Dam_evaporation_sediment_thickness">'Assumptions - General'!$C$44</definedName>
    <definedName name="Dam_liner_multiplier_to_account_for_sides">'Assumptions - General'!$C$41</definedName>
    <definedName name="Dam_liner_select_L">Lists!$B$332:$B$333</definedName>
    <definedName name="Dam_names_CS">'Cost Schedule'!$C$114:$C$196</definedName>
    <definedName name="Dam_process">Lists!$B$96</definedName>
    <definedName name="Dam_process_names_CS">'Cost Schedule'!$C$114:$C$140</definedName>
    <definedName name="Dam_process_rates_CS">'Cost Schedule'!$D$114:$D$140</definedName>
    <definedName name="Dam_process_sediment_thickness">'Assumptions - General'!$C$42</definedName>
    <definedName name="Dam_rates_CS">'Cost Schedule'!$D$114:$D$196</definedName>
    <definedName name="Dam_raw">Lists!$B$97</definedName>
    <definedName name="Dam_raw_names_CS">'Cost Schedule'!$C$141:$C$167</definedName>
    <definedName name="Dam_raw_rates_CS">'Cost Schedule'!$D$141:$D$167</definedName>
    <definedName name="Dam_raw_sediment_thickness">'Assumptions - General'!$C$43</definedName>
    <definedName name="Dam_size_L">Lists!$B$102:$B$110</definedName>
    <definedName name="Dam_top_soil_thickness">'Assumptions - General'!$C$45</definedName>
    <definedName name="Dam_type">Lists!$B$96:$B$99</definedName>
    <definedName name="De_contamination_water_4L">Rates!$B$90</definedName>
    <definedName name="De_contamination_water_4L_rate">Rates!$C$90</definedName>
    <definedName name="Default_Camp_Gravel_Thickness">#REF!</definedName>
    <definedName name="Demolition_crew">Rates!$B$187</definedName>
    <definedName name="Demolition_crew_rate_R">Rates!$C$187</definedName>
    <definedName name="Difficult_cap">Lists!$B$73</definedName>
    <definedName name="Dimension_measure">Lists!$B$119:$B$120</definedName>
    <definedName name="Dogman">Rates!$B$186</definedName>
    <definedName name="Dogman_rate">Rates!$C$186</definedName>
    <definedName name="Double_skin_tank">Lists!$B$337</definedName>
    <definedName name="Dozer_applied">Lists!$B$267</definedName>
    <definedName name="Dozer_D10_rate">Rates!$C$49</definedName>
    <definedName name="Dozer_D10T">Rates!$B$49</definedName>
    <definedName name="Dozer_D11_rate">Rates!$C$50</definedName>
    <definedName name="Dozer_D11T">Rates!$B$50</definedName>
    <definedName name="Dozer_D6_rate">Rates!$C$45</definedName>
    <definedName name="Dozer_D6R">Rates!$B$45</definedName>
    <definedName name="Dozer_D7_rate">Rates!$C$46</definedName>
    <definedName name="Dozer_D7R">Rates!$B$46</definedName>
    <definedName name="Dozer_D8_rate">Rates!$C$47</definedName>
    <definedName name="Dozer_D8R">Rates!$B$47</definedName>
    <definedName name="Dozer_D9_rate">Rates!$C$48</definedName>
    <definedName name="Dozer_D9R">Rates!$B$48</definedName>
    <definedName name="Dozer_lengths_imperial_lists">Lists!$E$123:$E$130</definedName>
    <definedName name="Dozer_lengths_L">Lists!$B$123:$B$136</definedName>
    <definedName name="Dozer_lengths_productivity">Productivity!$C$27:$P$27</definedName>
    <definedName name="Dozer_push_length_A">#REF!</definedName>
    <definedName name="Dozer_push_names__A">#REF!</definedName>
    <definedName name="Dozer_push_names_CS">'Cost Schedule'!$C$213:$C$296</definedName>
    <definedName name="Dozer_push_names_P">Productivity!$B$20:$B$25</definedName>
    <definedName name="Dozer_push_rates_CS">'Cost Schedule'!$D$213:$D$296</definedName>
    <definedName name="Dozer_push_values_A">#REF!</definedName>
    <definedName name="Dozer_reshape_angle_A">#REF!</definedName>
    <definedName name="Dozer_reshape_names_A">#REF!</definedName>
    <definedName name="Dozer_rip_names_A">#REF!</definedName>
    <definedName name="Dozer_rip_names_CS">'Cost Schedule'!$C$206:$C$211</definedName>
    <definedName name="Dozer_rip_names_P">Productivity!$D$39:$I$39</definedName>
    <definedName name="Dozer_rip_rates_A">#REF!</definedName>
    <definedName name="Dozer_rip_rates_CS">'Cost Schedule'!$D$206:$D$211</definedName>
    <definedName name="Dozer_shape_doze_10to20deg_rate_A">#REF!</definedName>
    <definedName name="Dozer_shape_doze_for_drainage_names_CS">'Cost Schedule'!$C$383:$C$424</definedName>
    <definedName name="Dozer_shape_doze_for_drainage_rates_CS">'Cost Schedule'!$D$383:$D$424</definedName>
    <definedName name="Dozer_shape_reprofile_area_names_CS">'Cost Schedule'!$C$298:$C$381</definedName>
    <definedName name="Dozer_shape_reprofile_area_rate_CS">'Cost Schedule'!$D$298:$D$381</definedName>
    <definedName name="Dozer_shape_reprofile_volume_names_CS">'Cost Schedule'!$C$426:$C$509</definedName>
    <definedName name="Dozer_shape_reprofile_volume_rate_CS">'Cost Schedule'!$D$426:$D$509</definedName>
    <definedName name="Dozer_time_rip_productivity">Productivity!$D$47:$I$47</definedName>
    <definedName name="Dozer_values_productivity">Productivity!$C$28:$P$33</definedName>
    <definedName name="Draftsman_Technician">Rates!$B$34</definedName>
    <definedName name="Draftsman_technician_rate">Rates!$C$34</definedName>
    <definedName name="Drains_names_CS">'Cost Schedule'!$C$511:$C$517</definedName>
    <definedName name="Drains_rates_CS">'Cost Schedule'!$D$511:$D$517</definedName>
    <definedName name="Drill_Rig___Blast_Hole___Atlas_Copco_D65">Rates!$B$52</definedName>
    <definedName name="Drill_Rig___Geoprobe">Rates!$B$53</definedName>
    <definedName name="Drillers_helper">Rates!$B$188</definedName>
    <definedName name="Drillers_helper_rate">Rates!$C$188</definedName>
    <definedName name="Drillrig_Geoprobe_rate">Rates!$C$53</definedName>
    <definedName name="Earth_compacted">Lists!$B$344</definedName>
    <definedName name="Earthen">Lists!$B$295</definedName>
    <definedName name="Electrician">Rates!$B$182</definedName>
    <definedName name="Electrician_rate">Rates!$C$182</definedName>
    <definedName name="Electricity">Rates!$B$191</definedName>
    <definedName name="Electricity_rate">Rates!$C$191</definedName>
    <definedName name="End_dozer_rates_CS">'Cost Schedule'!$B$509</definedName>
    <definedName name="Engineering_cap_rate">#REF!</definedName>
    <definedName name="Excavate_and_place">Lists!$B$263</definedName>
    <definedName name="Excavator_1900_rate">Rates!$C$63</definedName>
    <definedName name="Excavator_312F">Rates!$B$55</definedName>
    <definedName name="Excavator_312F_rate">Rates!$C$55</definedName>
    <definedName name="Excavator_320_rate">Rates!$C$56</definedName>
    <definedName name="Excavator_320C_F">Rates!$B$56</definedName>
    <definedName name="Excavator_325_rate">Rates!$C$57</definedName>
    <definedName name="Excavator_325C_F">Rates!$B$57</definedName>
    <definedName name="Excavator_330_rate">Rates!$C$58</definedName>
    <definedName name="Excavator_330F">Rates!$B$58</definedName>
    <definedName name="Excavator_340_rate">Rates!$C$59</definedName>
    <definedName name="Excavator_340F__345B">Rates!$B$59</definedName>
    <definedName name="Excavator_374_rate">Rates!$C$60</definedName>
    <definedName name="Excavator_374F">Rates!$B$60</definedName>
    <definedName name="Excavator_385_rate">Rates!$C$61</definedName>
    <definedName name="Excavator_385BL__390F">Rates!$B$61</definedName>
    <definedName name="Excavator_construct_bund_rate">Productivity!$D$64</definedName>
    <definedName name="Excavator_Cut_Aluminium_Plate">Productivity!$D$72</definedName>
    <definedName name="Excavator_Cut_Cladding">Productivity!$D$70</definedName>
    <definedName name="Excavator_Cut_Liner">'Assumptions - General'!$C$122</definedName>
    <definedName name="Excavator_Cut_Pipe">Productivity!$D$69</definedName>
    <definedName name="Excavator_Cut_Steel_Plate">Productivity!$D$71</definedName>
    <definedName name="Excavator_EX_2500">Rates!$B$64</definedName>
    <definedName name="Excavator_EX2500_rate">Rates!$C$64</definedName>
    <definedName name="Excavator_Liner_Rolling">'Assumptions - General'!$C$123</definedName>
    <definedName name="Excavator_PC_1250">Rates!$B$62</definedName>
    <definedName name="Excavator_PC_1900">Rates!$B$63</definedName>
    <definedName name="Excavator_PC1250_rate">Rates!$C$62</definedName>
    <definedName name="Excavator_productivity_backfill_tamp_trench">Productivity!$D$66</definedName>
    <definedName name="Excavator_productivity_list">Productivity!$B$58:$B$75</definedName>
    <definedName name="Excavator_productivity_rates">Productivity!$D$58:$D$75</definedName>
    <definedName name="Excavator_productivity_soil_exc_load_free">Productivity!$D$58</definedName>
    <definedName name="Excavator_productivity_soil_exc_load_trench">Productivity!$D$65</definedName>
    <definedName name="Excavator_strip_Insulation">Productivity!$D$73</definedName>
    <definedName name="Exp_easements_names_L">Lists!$B$139:$B$141</definedName>
    <definedName name="Exploration">Exploration!$C$5</definedName>
    <definedName name="Exploration_dam_names_CS">'Cost Schedule'!$C$533:$C$544</definedName>
    <definedName name="Exploration_dam_rates_CS">'Cost Schedule'!$D$533:$D$544</definedName>
    <definedName name="Exploration_mobe_names_CS">'Cost Schedule'!$C$545:$C$552</definedName>
    <definedName name="Exploration_mobe_rates_CS">'Cost Schedule'!$D$545:$D$552</definedName>
    <definedName name="Exploration_rate_set_CS">'Cost Schedule'!$C$521:$C$544</definedName>
    <definedName name="Exploration_rate_set_rates_CS">'Cost Schedule'!$D$521:$D$544</definedName>
    <definedName name="Explosive_consumables">Rates!$B$77</definedName>
    <definedName name="Explosive_consumables_rate">Rates!$C$77</definedName>
    <definedName name="Explosive_including_delivery_down_hole">Rates!$B$76</definedName>
    <definedName name="Explosive_including_delivery_down_hole_rate">Rates!$C$76</definedName>
    <definedName name="Fencing_names_CS">'Cost Schedule'!$C$554:$C$558</definedName>
    <definedName name="Fencing_rates_CS">'Cost Schedule'!$D$554:$D$558</definedName>
    <definedName name="Fertiliser_native">Lists!$B$23</definedName>
    <definedName name="Fertiliser_native_application_rate">'Assumptions - General'!$C$11</definedName>
    <definedName name="Fertiliser_native_rate">Rates!$C$135</definedName>
    <definedName name="Fertiliser_pasture">Lists!$B$22</definedName>
    <definedName name="Fertiliser_pasture_application_rate">'Assumptions - General'!$C$10</definedName>
    <definedName name="Fertiliser_pasture_rate">Rates!$C$134</definedName>
    <definedName name="Filter_dropdowns">Lists!$B$367:$B$368</definedName>
    <definedName name="Fleet_size_list">Lists!$B$144:$B$147</definedName>
    <definedName name="Foreperson">Rates!$B$181</definedName>
    <definedName name="Foreperson_rate">Rates!$C$181</definedName>
    <definedName name="Fuel_tanker">Rates!$B$176</definedName>
    <definedName name="Fuel_tanker_rate">Rates!$C$176</definedName>
    <definedName name="G">'Cost Schedule'!$B$558</definedName>
    <definedName name="Gas_axe">Rates!$B$125</definedName>
    <definedName name="Gas_axe_rate">Rates!$C$125</definedName>
    <definedName name="General_waste_disposal_distance">'Assumptions - General'!$C$134</definedName>
    <definedName name="Geo_layers_names_A">#REF!</definedName>
    <definedName name="Geo_layers_rates_A">#REF!</definedName>
    <definedName name="Geomembrane_buy_install_CS">'Cost Schedule'!$D$51</definedName>
    <definedName name="Geomembrane_specific_mass">'Assumptions - General'!$C$114</definedName>
    <definedName name="Geosynthetic_buy_install_CS">'Cost Schedule'!$D$50</definedName>
    <definedName name="Geotextile_buy_install_CS">'Cost Schedule'!$D$49</definedName>
    <definedName name="GIS">Lists!$B$30</definedName>
    <definedName name="Gloves">Rates!$B$92</definedName>
    <definedName name="Gloves_rate">Rates!$C$92</definedName>
    <definedName name="Grader_12M">Rates!$B$81</definedName>
    <definedName name="Grader_12M_rate">Rates!$C$81</definedName>
    <definedName name="Grader_14G_H_M">Rates!$B$82</definedName>
    <definedName name="Grader_14G_rate">Rates!$C$82</definedName>
    <definedName name="Grader_16G_H_M">Rates!$B$83</definedName>
    <definedName name="Grader_16G_rate">Rates!$C$83</definedName>
    <definedName name="Grader_names_A">#REF!</definedName>
    <definedName name="Grader_rip_names_CS">'Cost Schedule'!$C$579:$C$581</definedName>
    <definedName name="Grader_rip_rates_A">#REF!</definedName>
    <definedName name="Grader_rip_rates_CS">'Cost Schedule'!$D$579:$D$581</definedName>
    <definedName name="Grader_rip_trim_rates_A">#REF!</definedName>
    <definedName name="Grader_trim_names_CS">'Cost Schedule'!$C$583:$C$585</definedName>
    <definedName name="Grader_trim_rate_A">#REF!</definedName>
    <definedName name="Grader_trim_rates_CS">'Cost Schedule'!$D$583:$D$585</definedName>
    <definedName name="Grand_total">'RCE Summary'!$E$53</definedName>
    <definedName name="Grapple_G315__fits_320_325">Rates!$B$72</definedName>
    <definedName name="Grapple_G315_Grapple_G315__fits_320_325_rate">Rates!$C$72</definedName>
    <definedName name="Grapple_G320__fits_325_330">Rates!$B$73</definedName>
    <definedName name="Grapple_G320__fits_325_330_rate">Rates!$C$73</definedName>
    <definedName name="Grapple_G330__fits_340_374">Rates!$B$74</definedName>
    <definedName name="Grapple_G330__fits_340_rate">Rates!$C$74</definedName>
    <definedName name="Grass">Lists!$B$345</definedName>
    <definedName name="Gravel">Lists!$B$296</definedName>
    <definedName name="Grout_for_plugging_holes">Rates!$B$78</definedName>
    <definedName name="Grout_plug_holes_rate">Rates!$C$78</definedName>
    <definedName name="Grout_wastage_factor">'Assumptions - General'!$C$126</definedName>
    <definedName name="Growth_media">Lists!$B$13</definedName>
    <definedName name="Growth_media__names_CS">'Cost Schedule'!$C$562:$C$572</definedName>
    <definedName name="Growth_media_fill_names_R">Rates!$B$85:$B$86</definedName>
    <definedName name="Growth_media_fill_rates_R">Rates!$C$85:$C$86</definedName>
    <definedName name="Growth_media_fill_units_R">Rates!$D$85</definedName>
    <definedName name="Growth_media_prop_def_rates">'Assumptions - Capping'!$K$13</definedName>
    <definedName name="Growth_media_purchase">Rates!$B$85</definedName>
    <definedName name="Growth_media_purchase_rate">Rates!$C$85</definedName>
    <definedName name="Growth_media_rates_CS">'Cost Schedule'!$D$562:$D$572</definedName>
    <definedName name="Growth_media_soil_density">'Assumptions - General'!$C$105</definedName>
    <definedName name="Growth_media_TSF_thickness">'Assumptions - Capping'!$K$12</definedName>
    <definedName name="Gypsum">Lists!$B$17</definedName>
    <definedName name="Gypsum_and_Biosolids">Lists!$B$20</definedName>
    <definedName name="Gypsum_application_rate">'Assumptions - General'!$C$5</definedName>
    <definedName name="Gypsum_rate">Rates!$C$129</definedName>
    <definedName name="ha">Lists!$C$120</definedName>
    <definedName name="Hammer_325_rate">Rates!$C$66</definedName>
    <definedName name="Hammer_340_rate">Rates!$C$67</definedName>
    <definedName name="Hammer_365_rate">Rates!$C$68</definedName>
    <definedName name="Hammer_H_110_120__fits_325">Rates!$B$66</definedName>
    <definedName name="Hammer_H_160__fits_340_345">Rates!$B$67</definedName>
    <definedName name="Hammer_H_180__fits_365_370_385_390">Rates!$B$68</definedName>
    <definedName name="Handcast">Lists!$B$266</definedName>
    <definedName name="Haul_and_place">Lists!$B$262</definedName>
    <definedName name="Haul_roads_area_arid_names_CS">'Cost Schedule'!$C$1058:$C$1060</definedName>
    <definedName name="Haul_roads_area_arid_rates_A">#REF!</definedName>
    <definedName name="Haul_roads_area_arid_rates_CS">'Cost Schedule'!$D$1058:$D$1060</definedName>
    <definedName name="Haul_roads_area_names_CS">'Cost Schedule'!$C$1052:$C$1060</definedName>
    <definedName name="Haul_roads_area_native_names_CS">'Cost Schedule'!$C$1055:$C$1057</definedName>
    <definedName name="Haul_roads_area_native_rates_A">#REF!</definedName>
    <definedName name="Haul_roads_area_native_rates_CS">'Cost Schedule'!$D$1055:$D$1057</definedName>
    <definedName name="Haul_roads_area_pasture_names_CS">'Cost Schedule'!$C$1052:$C$1054</definedName>
    <definedName name="Haul_roads_area_pasture_rates_A">#REF!</definedName>
    <definedName name="Haul_roads_area_pasture_rates_CS">'Cost Schedule'!$D$1052:$D$1054</definedName>
    <definedName name="Haul_roads_area_rates_CS">'Cost Schedule'!$D$1052:$D$1060</definedName>
    <definedName name="Haul_roads_length_arid_names_CS">'Cost Schedule'!$C$1049:$C$1051</definedName>
    <definedName name="Haul_roads_length_arid_rates_A">#REF!</definedName>
    <definedName name="Haul_roads_length_arid_rates_CS">'Cost Schedule'!$D$1049:$D$1051</definedName>
    <definedName name="Haul_roads_length_names_CS">'Cost Schedule'!$C$1043:$C$1051</definedName>
    <definedName name="Haul_roads_length_native_names_CS">'Cost Schedule'!$C$1046:$C$1048</definedName>
    <definedName name="Haul_roads_length_native_rates_A">#REF!</definedName>
    <definedName name="Haul_roads_length_native_rates_CS">'Cost Schedule'!$D$1046:$D$1048</definedName>
    <definedName name="Haul_roads_length_pasture_names_CS">'Cost Schedule'!$C$1043:$C$1045</definedName>
    <definedName name="Haul_roads_length_pasture_rates_A">#REF!</definedName>
    <definedName name="Haul_roads_length_pasture_rates_CS">'Cost Schedule'!$D$1043:$D$1045</definedName>
    <definedName name="Haul_roads_length_rates_CS">'Cost Schedule'!$D$1043:$D$1051</definedName>
    <definedName name="Haul_roads_names_A">#REF!</definedName>
    <definedName name="Haul_roads_rock_gravel_bitumen_cover_thickness">'Assumptions - General'!$C$85</definedName>
    <definedName name="Haul_roads_track_rail_growth_media_thickness">'Assumptions - General'!$C$89</definedName>
    <definedName name="Haul_roads_width">'Assumptions - General'!$C$86</definedName>
    <definedName name="Hay_mulch_application_rate">'Assumptions - General'!$C$9</definedName>
    <definedName name="Hay_Mulch_Sugar_Cane">Lists!$B$21</definedName>
    <definedName name="Hay_Mulch_Sugar_Cane_rate">Rates!$C$133</definedName>
    <definedName name="Hazardous_waste">Lists!$B$356</definedName>
    <definedName name="Hazardous_waste_disposal_distance">'Assumptions - General'!$C$131</definedName>
    <definedName name="Hazardous_waste_gate_fee">Rates!$B$200</definedName>
    <definedName name="Hazardous_waste_rate">Rates!$C$200</definedName>
    <definedName name="HAZMAT_names_CS">'Cost Schedule'!$C$574:$C$577</definedName>
    <definedName name="HAZMAT_rates_CS">'Cost Schedule'!$D$574:$D$577</definedName>
    <definedName name="HAZMAT_units_CS">'Cost Schedule'!$E$574:$E$577</definedName>
    <definedName name="HDPE_welder">Rates!$B$185</definedName>
    <definedName name="HDPE_welder_rate">Rates!$C$185</definedName>
    <definedName name="Health_and_Safety_Lead">Rates!$B$36</definedName>
    <definedName name="Health_and_Safety_Lead_rate">Rates!$C$36</definedName>
    <definedName name="Hide">Lists!$B$368</definedName>
    <definedName name="High_risk_cap">Lists!$B$72</definedName>
    <definedName name="HLP_names_CS">'Cost Schedule'!$C$587:$C$590</definedName>
    <definedName name="HLP_rates_CS">'Cost Schedule'!$D$587:$D$590</definedName>
    <definedName name="Horizontal_tank">Lists!$B$302</definedName>
    <definedName name="hours_per_day">'Assumptions - General'!$C$49</definedName>
    <definedName name="Hydrated_Lime">Rates!$B$211</definedName>
    <definedName name="Hydrated_lime_rate">Rates!$C$211</definedName>
    <definedName name="Hydro_rig">Rates!$B$178</definedName>
    <definedName name="Hydromulch_BFM_application_rate">'Assumptions - General'!$C$21</definedName>
    <definedName name="Hydromulch_BFM_native">Lists!$B$255</definedName>
    <definedName name="Hydromulch_BFM_native_rate">Rates!$C$146</definedName>
    <definedName name="Hydromulch_BFM_native_seed_application_rate">'Assumptions - General'!$C$21</definedName>
    <definedName name="Hydromulch_BFM_pasture">Lists!$B$254</definedName>
    <definedName name="Hydromulch_BFM_pasture_rate">Rates!$C$145</definedName>
    <definedName name="Hydromulch_BFM_pasture_seed_application_rate">'Assumptions - General'!$C$20</definedName>
    <definedName name="Hydromulch_BFM_productivity_P">Productivity!$D$103</definedName>
    <definedName name="Hydromulch_BFM_rate">Rates!$C$146</definedName>
    <definedName name="Hydromulch_BGM_native">Lists!$B$259</definedName>
    <definedName name="Hydromulch_BGM_native_seed">Lists!$B$259</definedName>
    <definedName name="Hydromulch_BGM_native_seed_application_rate">'Assumptions - General'!$C$25</definedName>
    <definedName name="Hydromulch_BGM_native_seed_rate">Rates!$C$150</definedName>
    <definedName name="Hydromulch_BGM_pasture_seed">Lists!$B$258</definedName>
    <definedName name="Hydromulch_BGM_pasture_seed_application_rate">'Assumptions - General'!$C$24</definedName>
    <definedName name="Hydromulch_BGM_pasture_seed_rate">Rates!$C$149</definedName>
    <definedName name="Hydromulch_BGM_productivity_P">Productivity!$D$105</definedName>
    <definedName name="Hydromulch_FRM_native">Lists!$B$257</definedName>
    <definedName name="Hydromulch_FRM_native_seed_application_rate">'Assumptions - General'!$C$23</definedName>
    <definedName name="Hydromulch_FRM_native_seed_rate">Rates!$C$148</definedName>
    <definedName name="Hydromulch_FRM_pasture">Lists!$B$256</definedName>
    <definedName name="Hydromulch_FRM_pasture_seed_application_rate">'Assumptions - General'!$C$22</definedName>
    <definedName name="Hydromulch_FRM_pasture_seed_rate">Rates!$C$147</definedName>
    <definedName name="Hydromulch_FRM_productivity_P">Productivity!$D$104</definedName>
    <definedName name="Hydrorig_rate">Rates!$C$178</definedName>
    <definedName name="Hydroseed_productivity_P">Productivity!$D$102</definedName>
    <definedName name="Hydroseeding_native_application_rate">'Assumptions - General'!$C$19</definedName>
    <definedName name="Hydroseeding_native_seed">Lists!$B$253</definedName>
    <definedName name="Hydroseeding_native_seed_rate">Rates!$C$144</definedName>
    <definedName name="Hydroseeding_pasture_application_rate">'Assumptions - General'!$C$18</definedName>
    <definedName name="Hydroseeding_pasture_seed">Lists!$B$252</definedName>
    <definedName name="Hydroseeding_pasture_seed_rate">Rates!$C$143</definedName>
    <definedName name="Incidental_waste_disposal_distance">'Assumptions - General'!$C$132</definedName>
    <definedName name="Inflation">Rates!$N$4</definedName>
    <definedName name="Infrastructure_Area">'Infrastructure Area'!$C$5</definedName>
    <definedName name="Infrastructure_Mine_Entries">'Infrastructure - Mine Entries'!$B$5</definedName>
    <definedName name="Infrastructure_names_list">Lists!$B$150:$B$154</definedName>
    <definedName name="Infrastructure_values">Lists!$B$149:$I$149</definedName>
    <definedName name="Junior_Consultant">Rates!$B$28</definedName>
    <definedName name="Junior_Consultant_rate">Rates!$C$28</definedName>
    <definedName name="km">Lists!$C$119</definedName>
    <definedName name="Labour__General">Rates!$B$180</definedName>
    <definedName name="Labour_General_rate">Rates!$C$180</definedName>
    <definedName name="Large">Lists!$B$146</definedName>
    <definedName name="Laydown">Lists!$B$150</definedName>
    <definedName name="Laydown_arid_rates_A">#REF!</definedName>
    <definedName name="Laydown_names_A">#REF!</definedName>
    <definedName name="Laydown_names_CS">'Cost Schedule'!$C$1091:$C$1099</definedName>
    <definedName name="Laydown_names_exploration_CS">'Cost Schedule'!$C$529:$C$532</definedName>
    <definedName name="Laydown_native_rates_A">#REF!</definedName>
    <definedName name="Laydown_pasture_rates_A">#REF!</definedName>
    <definedName name="Laydown_rates_CS">'Cost Schedule'!$D$1091:$D$1099</definedName>
    <definedName name="Laydown_rates_exploration_CS">'Cost Schedule'!$D$529:$D$532</definedName>
    <definedName name="Leave_in_place">Lists!$B$238</definedName>
    <definedName name="Length">Lists!$B$119</definedName>
    <definedName name="Lime">Lists!$B$18</definedName>
    <definedName name="Lime_application_rate">'Assumptions - General'!$C$6</definedName>
    <definedName name="Lime_rate">Rates!$C$130</definedName>
    <definedName name="Lined">Lists!$B$332</definedName>
    <definedName name="Liner_HDPE_1mm">Rates!$B$15</definedName>
    <definedName name="Liner_HDPE_1mm_rate">Rates!$C$15</definedName>
    <definedName name="Liner_removal_rate_A">#REF!</definedName>
    <definedName name="Liner_specific_mass">'Assumptions - General'!$C$115</definedName>
    <definedName name="Liquid_waste_disposal_distance">'Assumptions - General'!$C$133</definedName>
    <definedName name="LISTS">Lists!$B$3</definedName>
    <definedName name="Load_and_haul_water_names_CS">'Cost Schedule'!$C$790:$C$808</definedName>
    <definedName name="Load_and_haul_water_rates_CS">'Cost Schedule'!$D$790:$D$808</definedName>
    <definedName name="Load_haul_brine_names_CS">'Cost Schedule'!$C$810:$C$828</definedName>
    <definedName name="Load_haul_brine_rates_CS">'Cost Schedule'!$D$810:$D$828</definedName>
    <definedName name="Load_haul_fill_names_CS">'Cost Schedule'!$C$616:$C$648</definedName>
    <definedName name="Load_haul_fill_rates_CS">'Cost Schedule'!$D$616:$D$648</definedName>
    <definedName name="Load_haul_names_A">#REF!</definedName>
    <definedName name="Load_haul_names_L">Lists!$B$157:$B$167</definedName>
    <definedName name="Load_haul_small_fill_rates_A">#REF!</definedName>
    <definedName name="Load_haul_small_growth_media_rates_A">#REF!</definedName>
    <definedName name="Load_haul_small_stabilised_A">#REF!</definedName>
    <definedName name="Load_haul_soil_names_CS">'Cost Schedule'!$C$592:$C$602</definedName>
    <definedName name="Load_haul_soil_rates_CS">'Cost Schedule'!$D$592:$D$602</definedName>
    <definedName name="Load_haul_stabilised_names_CS">'Cost Schedule'!$C$604:$C$614</definedName>
    <definedName name="Load_haul_stabilised_rates_CS">'Cost Schedule'!$D$604:$D$614</definedName>
    <definedName name="Loader_926_rate">Rates!$C$110</definedName>
    <definedName name="Loader_926M">Rates!$B$110</definedName>
    <definedName name="Loader_930K">Rates!$B$111</definedName>
    <definedName name="Loader_930M_rate">Rates!$C$111</definedName>
    <definedName name="Loader_950M">Rates!$B$112</definedName>
    <definedName name="Loader_950M_rate">Rates!$C$112</definedName>
    <definedName name="Loader_966_rate">Rates!$C$113</definedName>
    <definedName name="Loader_966G_M">Rates!$B$113</definedName>
    <definedName name="Loader_972M">Rates!$B$114</definedName>
    <definedName name="Loader_972M_rate">Rates!$C$114</definedName>
    <definedName name="Loader_980M">Rates!$B$115</definedName>
    <definedName name="Loader_980M_rate">Rates!$C$115</definedName>
    <definedName name="Loader_988_rate">Rates!$C$116</definedName>
    <definedName name="Loader_988G__990K">Rates!$B$116</definedName>
    <definedName name="Loader_992_rate">Rates!$C$117</definedName>
    <definedName name="Loader_992G_K">Rates!$B$117</definedName>
    <definedName name="Loader_994_rate">Rates!$C$118</definedName>
    <definedName name="Loader_994K">Rates!$B$118</definedName>
    <definedName name="Loading_name_spot_CS">'Cost Schedule'!$C$829</definedName>
    <definedName name="Loading_names_CS">'Cost Schedule'!$C$830:$C$831</definedName>
    <definedName name="Loading_rates_CS">'Cost Schedule'!$D$830:$D$831</definedName>
    <definedName name="Long_haul_clay_names_CS">'Cost Schedule'!$C$690:$C$708</definedName>
    <definedName name="Long_haul_clay_rates_CS">'Cost Schedule'!$D$690:$D$708</definedName>
    <definedName name="Long_haul_concrete_plug_distances_CS">'Cost Schedule'!$C$750:$C$768</definedName>
    <definedName name="Long_haul_concrete_plug_rates_CS">'Cost Schedule'!$D$750:$D$768</definedName>
    <definedName name="Long_haul_concrete_rubble_distances_CS">'Cost Schedule'!$C$710:$C$728</definedName>
    <definedName name="Long_haul_concrete_rubble_rates_A">#REF!</definedName>
    <definedName name="Long_haul_concrete_rubble_rates_CS">'Cost Schedule'!$D$710:$D$728</definedName>
    <definedName name="Long_haul_distance_names_A">#REF!</definedName>
    <definedName name="Long_haul_distance_names_L">Lists!$B$175:$B$193</definedName>
    <definedName name="Long_haul_distances_average_L">Lists!$C$175:$C$193</definedName>
    <definedName name="Long_haul_oil_names_CS">'Cost Schedule'!$C$770:$C$788</definedName>
    <definedName name="Long_haul_oil_rates_CS">'Cost Schedule'!$D$770:$D$788</definedName>
    <definedName name="Long_haul_rates_modules_A">#REF!</definedName>
    <definedName name="Long_haul_rates_oil_A">#REF!</definedName>
    <definedName name="Long_haul_soil_amend_names_mass_CS">'Cost Schedule'!$C$670:$C$688</definedName>
    <definedName name="Long_haul_soil_amend_names_volume_CS">'Cost Schedule'!$C$650:$C$668</definedName>
    <definedName name="Long_haul_soil_amend_rates_mass_CS">'Cost Schedule'!$D$670:$D$688</definedName>
    <definedName name="Long_haul_soil_amend_rates_volume_CS">'Cost Schedule'!$D$650:$D$668</definedName>
    <definedName name="Long_haul_soil_gm_amend_rates_A">#REF!</definedName>
    <definedName name="Long_haul_steel_distances_CS">'Cost Schedule'!$C$730:$C$748</definedName>
    <definedName name="Long_haul_steel_rates_A">#REF!</definedName>
    <definedName name="Long_haul_steel_rates_CS">'Cost Schedule'!$D$730:$D$748</definedName>
    <definedName name="Low_level_solid_waste">Lists!$B$358</definedName>
    <definedName name="Low_level_solid_waste_gate_fee">Rates!$B$202</definedName>
    <definedName name="Low_level_solid_waste_rate">Rates!$C$202</definedName>
    <definedName name="Low_risk_cap">Lists!$B$70</definedName>
    <definedName name="Maintenance_rehab_areas_names_CS">'Cost Schedule'!$C$833:$C$840</definedName>
    <definedName name="Maintenance_rehab_areas_rates_CS">'Cost Schedule'!$D$833:$D$840</definedName>
    <definedName name="Mechanical_fitter">Rates!$B$183</definedName>
    <definedName name="Mechanical_fitter_rate">Rates!$C$183</definedName>
    <definedName name="Medium">Lists!$B$145</definedName>
    <definedName name="Medium_risk_cap">Lists!$B$71</definedName>
    <definedName name="Mine_Name">'RCE Summary'!$I$12</definedName>
    <definedName name="Mobe_list">#REF!</definedName>
    <definedName name="Mobe_list_vertical">Lists!$B$202:$B$216</definedName>
    <definedName name="Mobe_names_CS">'Cost Schedule'!$C$842:$C$861</definedName>
    <definedName name="Mobe_rates_CS">'Cost Schedule'!$D$842:$D$861</definedName>
    <definedName name="Name_main">Introduction!$B$3</definedName>
    <definedName name="Native">Lists!$B$342</definedName>
    <definedName name="Native_rolledup_CS">'Cost Schedule'!$D$894</definedName>
    <definedName name="Native_seed">Lists!$B$247</definedName>
    <definedName name="Native_seed_application_rate">'Assumptions - General'!$C$13</definedName>
    <definedName name="Native_seed_rate">Rates!$C$138</definedName>
    <definedName name="Native_species_seed">Rates!$B$138</definedName>
    <definedName name="Neutraliser_0.5ML_d">Rates!$B$210</definedName>
    <definedName name="Neutraliser_0.5ML_d_rate">Rates!$C$210</definedName>
    <definedName name="Nightly_Patrols_CS">'Cost Schedule'!$C$1004</definedName>
    <definedName name="Nightly_Patrols_rate">'Cost Schedule'!$D$1004</definedName>
    <definedName name="No">Lists!$B$7</definedName>
    <definedName name="No_cladding">Lists!$B$76</definedName>
    <definedName name="No_risk_gm_stockpile">Lists!$B$67</definedName>
    <definedName name="No_risk_ob_piles">Lists!$B$68</definedName>
    <definedName name="No_vegetation">Lists!$B$340</definedName>
    <definedName name="None">Lists!$B$16</definedName>
    <definedName name="Off_site">Lists!$B$64</definedName>
    <definedName name="Off_site_VENM">Lists!$B$244</definedName>
    <definedName name="Oil_disposal">Lists!$B$351</definedName>
    <definedName name="Oil_disposal_gate_fee">Rates!$B$195</definedName>
    <definedName name="Oil_disposal_gate_fee_rate">Rates!$C$195</definedName>
    <definedName name="Oily_soil_disposal_distance">'Assumptions - General'!$C$129</definedName>
    <definedName name="Oily_water_disposal">Lists!$B$352</definedName>
    <definedName name="Oily_water_disposal_gate_fee">Rates!$B$196</definedName>
    <definedName name="Oily_water_disposal_gate_fee_rate">Rates!$C$196</definedName>
    <definedName name="On_site_rock">Lists!$B$243</definedName>
    <definedName name="Other_and_Sundry">'Other and Sundry'!$B$5</definedName>
    <definedName name="Oval">Lists!$B$29</definedName>
    <definedName name="Overburden_Emplacement_Area">'Overburden Emplacement Area'!$C$5</definedName>
    <definedName name="Overburden_structures_L">Lists!$B$220:$B$222</definedName>
    <definedName name="Overpass_large_road_or_rail">Lists!$B$227</definedName>
    <definedName name="Overpass_medium_road_or_rail">Lists!$B$226</definedName>
    <definedName name="Overpass_names_CS">'Cost Schedule'!$C$985:$C$987</definedName>
    <definedName name="Overpass_pavement_thickness">'Assumptions - General'!$C$90</definedName>
    <definedName name="Overpass_rates_CS">'Cost Schedule'!$D$985:$D$987</definedName>
    <definedName name="Overpass_small_road_or_rail">Lists!$B$225</definedName>
    <definedName name="Panel_tank">Lists!$B$305</definedName>
    <definedName name="Panel_tank_Mass_of_capture_cable__15.2_mm">#REF!</definedName>
    <definedName name="Panel_tank_Mass_of_reinforcing_cable__12.7_mm">#REF!</definedName>
    <definedName name="Panhandler">Rates!$B$109</definedName>
    <definedName name="Panhandler_rate">Rates!$C$109</definedName>
    <definedName name="Pasture">Lists!$B$341</definedName>
    <definedName name="Pasture_rolledup_CS">'Cost Schedule'!$D$892</definedName>
    <definedName name="Pasture_seed">Lists!$B$248</definedName>
    <definedName name="Pasture_seed_application_rate">'Assumptions - General'!$C$14</definedName>
    <definedName name="Pasture_seed_rate">Rates!$C$139</definedName>
    <definedName name="Pasture_species_seed">Rates!$B$84</definedName>
    <definedName name="Permeability_Testing_points_frequency">'Assumptions - General'!$C$34</definedName>
    <definedName name="Permeability_Testing_points_per_time">'Assumptions - General'!$C$35</definedName>
    <definedName name="Permeability_testing_rate">#REF!</definedName>
    <definedName name="Photo_ionisation_detector">Rates!$B$89</definedName>
    <definedName name="Photo_ionisation_detector_rate">Rates!$C$89</definedName>
    <definedName name="Pipe_50mm_specific_mass">'Assumptions - General'!$C$69</definedName>
    <definedName name="Pipeline_L">Lists!$B$230:$B$231</definedName>
    <definedName name="Pipeline_material_L">Lists!$B$234:$B$235</definedName>
    <definedName name="Pipeline_treatment">Lists!$B$238:$B$239</definedName>
    <definedName name="Pipelines_names_CS">'Cost Schedule'!$C$870:$C$890</definedName>
    <definedName name="Pipelines_rates_CS">'Cost Schedule'!$D$870:$D$890</definedName>
    <definedName name="Pits_backfill_source_L">Lists!$B$243:$B$244</definedName>
    <definedName name="Plant">Lists!$B$268</definedName>
    <definedName name="Plant_and_seed_appln_rate_names_Assumptions">'Assumptions - General'!$B$13:$B$25</definedName>
    <definedName name="Plant_and_seed_appln_rate_unit_Assumptions">'Assumptions - General'!$D$13:$D$25</definedName>
    <definedName name="Plant_and_seed_appln_rates_rates_Assumptions">'Assumptions - General'!$C$13:$C$25</definedName>
    <definedName name="Plant_and_seed_apply_fertiliser_names_CS">'Cost Schedule'!$C$935:$C$948</definedName>
    <definedName name="Plant_and_seed_apply_fertilser_rates_A">#REF!</definedName>
    <definedName name="Plant_and_seed_apply_plant_names_CS">'Cost Schedule'!$C$907:$C$920</definedName>
    <definedName name="Plant_and_seed_apply_plant_rates_CS">'Cost Schedule'!$D$907:$D$920</definedName>
    <definedName name="Plant_and_seed_apply_rates_A">#REF!</definedName>
    <definedName name="Plant_and_seed_apply_water_names_CS">'Cost Schedule'!$C$963:$C$976</definedName>
    <definedName name="Plant_and_seed_apply_water_rates_A">#REF!</definedName>
    <definedName name="Plant_and_seed_apply_water_rates_CS">'Cost Schedule'!$D$963:$D$976</definedName>
    <definedName name="Plant_and_seed_buy_rates_A">#REF!</definedName>
    <definedName name="Plant_and_seed_buy_water_names_CS">'Cost Schedule'!$C$949:$C$962</definedName>
    <definedName name="Plant_and_seed_fertiliser_apply_rates_CS">'Cost Schedule'!$D$935:$D$948</definedName>
    <definedName name="Plant_and_seed_fertiliser_buy_names_CS">'Cost Schedule'!$C$921:$C$934</definedName>
    <definedName name="Plant_and_seed_fertiliser_buy_rates_CS">'Cost Schedule'!$D$921:$D$934</definedName>
    <definedName name="Plant_and_seed_fertiliser_rates_A">#REF!</definedName>
    <definedName name="Plant_and_seed_list_L">Lists!$B$247:$B$259</definedName>
    <definedName name="Plant_and_seed_names_A">#REF!</definedName>
    <definedName name="Plant_and_seed_names_CS">'Cost Schedule'!$C$892:$C$905</definedName>
    <definedName name="Plant_and_seed_rates_A">#REF!</definedName>
    <definedName name="Plant_and_seed_rates_CS">'Cost Schedule'!$D$892:$D$905</definedName>
    <definedName name="Plant_and_seed_unit_CS">'Cost Schedule'!$E$892:$E$905</definedName>
    <definedName name="Plant_and_seed_units_A">#REF!</definedName>
    <definedName name="Plant_and_seed_water_buy_rates_A">#REF!</definedName>
    <definedName name="Plant_and_seed_water_buy_rates_CS">'Cost Schedule'!$D$949:$D$962</definedName>
    <definedName name="Plastic_liner_disposal">Lists!$B$359</definedName>
    <definedName name="Plastic_liner_disposal_gate_fee">Rates!$B$203</definedName>
    <definedName name="Plastic_liner_disposal_gate_fee_rate">Rates!$C$203</definedName>
    <definedName name="Plastic_pipe">Lists!$B$234</definedName>
    <definedName name="Plastic_wall">Lists!$B$316</definedName>
    <definedName name="Poles_distance_range">#REF!</definedName>
    <definedName name="Pond_gauging">Rates!$B$95</definedName>
    <definedName name="Pond_gauging_rate">Rates!$C$95</definedName>
    <definedName name="Power_poles_names_CS">'Cost Schedule'!$C$981:$C$982</definedName>
    <definedName name="Power_poles_rates_CS">'Cost Schedule'!$D$981:$D$982</definedName>
    <definedName name="Powerpoles_gm_thickness_mm">#REF!</definedName>
    <definedName name="Principal_Consultant">Rates!$B$30</definedName>
    <definedName name="Principal_Consultant_rate">Rates!$C$30</definedName>
    <definedName name="Project_Manager">Rates!$B$32</definedName>
    <definedName name="Project_manager_rate">Rates!$C$32</definedName>
    <definedName name="Pump_4_inch_dewater">Rates!$B$213</definedName>
    <definedName name="Pump_4_inch_dewater_rate">Rates!$C$213</definedName>
    <definedName name="Pump_6_inch_dewater_with_hoses">Rates!$B$214</definedName>
    <definedName name="Pump_6_inch_dewater_with_hoses_rate">Rates!$C$214</definedName>
    <definedName name="Rail_load_bin_steel_thickness">'Assumptions - General'!$C$118</definedName>
    <definedName name="Rail_loading">Lists!$B$172</definedName>
    <definedName name="Rail_loading_bin">Lists!$B$308</definedName>
    <definedName name="Rail_names_CS">'Cost Schedule'!$C$978:$C$979</definedName>
    <definedName name="Rail_rates_CS">'Cost Schedule'!$D$978:$D$979</definedName>
    <definedName name="Rail_tie_spacing">'Assumptions - General'!$C$93</definedName>
    <definedName name="Rail_units_CS">'Cost Schedule'!$E$978:$E$979</definedName>
    <definedName name="Railway_line_specific_mass">'Assumptions - General'!$C$92</definedName>
    <definedName name="Rainwater_tank_L">Lists!$B$311</definedName>
    <definedName name="Rate_Sources_A">#REF!</definedName>
    <definedName name="Rates_cost">Rates!$C$5:$C$222</definedName>
    <definedName name="Rates_cost_CS">'Cost Schedule'!$D$8:$D$1111</definedName>
    <definedName name="Rates_headings">Rates!$J$5:$AL$5</definedName>
    <definedName name="Rates_name">Rates!$B$5:$B$222</definedName>
    <definedName name="Rates_soil_seed_add_units_R">Rates!$D$129:$D$150</definedName>
    <definedName name="Rates_soil_seed_adds_names_R">Rates!$B$129:$B$150</definedName>
    <definedName name="Rates_soil_seed_adds_rates_R">Rates!$C$129:$C$150</definedName>
    <definedName name="Rates_unit">Rates!$D$5:$D$222</definedName>
    <definedName name="RCE_Summary">'RCE Summary'!$B$5</definedName>
    <definedName name="Rectangle">Lists!$B$27</definedName>
    <definedName name="Remove">Lists!$B$239</definedName>
    <definedName name="Remove_sediment_and_haul_names_CS">'Cost Schedule'!$C$197:$C$200</definedName>
    <definedName name="Remove_sediment_and_haul_rates_CS">'Cost Schedule'!$D$197:$D$200</definedName>
    <definedName name="Restricted_solid_waste">Lists!$B$357</definedName>
    <definedName name="Restricted_solid_waste_gate_fee">Rates!$B$201</definedName>
    <definedName name="Restricted_solid_waste_rate">Rates!$C$201</definedName>
    <definedName name="Restricted_waste_distance">'Assumptions - General'!$C$135</definedName>
    <definedName name="Reverse_Osmosis_1ML_d">Rates!$B$209</definedName>
    <definedName name="Reverse_Osmosis_1ML_d_rate">Rates!$C$209</definedName>
    <definedName name="RO_Chemicals">Rates!$B$212</definedName>
    <definedName name="RO_chemicals_rate">Rates!$C$212</definedName>
    <definedName name="Rock">Lists!$B$297</definedName>
    <definedName name="Safety_bund_method">Lists!$B$262:$B$263</definedName>
    <definedName name="Salt_density">'Assumptions - General'!$C$110</definedName>
    <definedName name="Salt_disposal_distance">'Assumptions - General'!$C$136</definedName>
    <definedName name="Screening_Plant">Rates!$B$120</definedName>
    <definedName name="Screening_Plant_rate">Rates!$C$120</definedName>
    <definedName name="Security_Guard">Rates!$B$189</definedName>
    <definedName name="Security_guard_rate">Rates!$C$189</definedName>
    <definedName name="Seed_native_handcast_rate_A">#REF!</definedName>
    <definedName name="Seed_pasture_handcast_rate_A">#REF!</definedName>
    <definedName name="Senior_Principal_Consultant">Rates!$B$31</definedName>
    <definedName name="Senior_Principal_Consultant_rate">Rates!$C$31</definedName>
    <definedName name="Shaft_backfill">Rates!$B$87</definedName>
    <definedName name="Shaft_backfill_rate_R">Rates!$C$87</definedName>
    <definedName name="Shears_325_rate">Rates!$C$69</definedName>
    <definedName name="Shears_340_rate">Rates!$C$70</definedName>
    <definedName name="Shears_374_rate">Rates!$C$71</definedName>
    <definedName name="Shears_S340__fits_320_325_330">Rates!$B$69</definedName>
    <definedName name="Shears_S365__fits_330_340">Rates!$B$70</definedName>
    <definedName name="Shears_S390__fits_374_390">Rates!$B$71</definedName>
    <definedName name="Shovel_Electric_CAT_7495">Rates!$B$152</definedName>
    <definedName name="Shovel_Electric_rate">Rates!$C$152</definedName>
    <definedName name="Shovel_Hydraulic_CAT_6090">Rates!$B$153</definedName>
    <definedName name="Shovel_Hydraulic_rate">Rates!$C$153</definedName>
    <definedName name="Show">Lists!$B$367</definedName>
    <definedName name="Silo">Lists!$B$307</definedName>
    <definedName name="Silo_concrete_pad_thickness">'Assumptions - General'!$C$117</definedName>
    <definedName name="Silo_steel_thickness">'Assumptions - General'!$C$116</definedName>
    <definedName name="Single_skin_tank">Lists!$B$336</definedName>
    <definedName name="SITE_REGISTRATION">'RCE Summary'!$B$8</definedName>
    <definedName name="Slope_names_L">Lists!$B$281:$B$287</definedName>
    <definedName name="Sludge_density">'Assumptions - General'!$C$107</definedName>
    <definedName name="Small">Lists!$B$144</definedName>
    <definedName name="Soil_Augers">Rates!$B$93</definedName>
    <definedName name="Soil_Augers_rate">Rates!$C$93</definedName>
    <definedName name="Soil_density">'Assumptions - General'!$C$97:$C$103</definedName>
    <definedName name="Soil_density_clay">'Assumptions - General'!$C$103</definedName>
    <definedName name="Soil_density_sand">'Assumptions - General'!$C$97</definedName>
    <definedName name="Soil_density_silt">'Assumptions - General'!$C$101</definedName>
    <definedName name="Soil_recycler">Rates!$B$121</definedName>
    <definedName name="Soil_recycler_rate">Rates!$C$121</definedName>
    <definedName name="Soil_sample_frequency">#REF!</definedName>
    <definedName name="Soil_sample_kit">Rates!$B$94</definedName>
    <definedName name="Soil_sample_kit_rate">Rates!$C$94</definedName>
    <definedName name="Soil_table">'Assumptions - General'!$B$97:$E$108</definedName>
    <definedName name="Soils">'Assumptions - General'!$B$97:$B$103</definedName>
    <definedName name="Specific_mass_of_structural_steel___columns">'Assumptions - General'!$C$68</definedName>
    <definedName name="Spray">Lists!$B$269</definedName>
    <definedName name="Stacker">Lists!$B$170</definedName>
    <definedName name="Standard_levy_metropolitan">Rates!$B$205</definedName>
    <definedName name="Standard_levy_metropolitan_rate">Rates!$C$205</definedName>
    <definedName name="Standard_levy_regional">Rates!$B$206</definedName>
    <definedName name="Standard_levy_regional_rate">Rates!$C$206</definedName>
    <definedName name="Steel">Lists!$B$196</definedName>
    <definedName name="Steel_cable_cut_rate_excavator">Productivity!$D$75</definedName>
    <definedName name="Steel_density">'Assumptions - General'!$C$72</definedName>
    <definedName name="Steel_disposal">Lists!$B$350</definedName>
    <definedName name="Steel_disposal_gate_fee">Rates!$B$194</definedName>
    <definedName name="Steel_disposal_gate_fee_rate">Rates!$C$194</definedName>
    <definedName name="Steel_disposal_site">'Assumptions - General'!$C$137</definedName>
    <definedName name="Steel_distance_range">#REF!</definedName>
    <definedName name="Steel_floor">Lists!$B$326</definedName>
    <definedName name="Steel_pipe">Lists!$B$235</definedName>
    <definedName name="Steel_reinforcing_in_concrete">'Assumptions - General'!$C$91</definedName>
    <definedName name="Steel_rio_cut_rate_excavator">Productivity!$D$74</definedName>
    <definedName name="Steel_roof">Lists!$B$320</definedName>
    <definedName name="Steel_wall">Lists!$B$314</definedName>
    <definedName name="Storage_site_distance">'Assumptions - General'!$C$112</definedName>
    <definedName name="Substation_names_CS">'Cost Schedule'!$C$1006:$C$1008</definedName>
    <definedName name="Substations_L">Lists!$B$290:$B$292</definedName>
    <definedName name="Substations_rates_CS">'Cost Schedule'!$D$1006:$D$1008</definedName>
    <definedName name="Surface_cover_list">Lists!$B$295:$B$298</definedName>
    <definedName name="Surface_vegetation_list">Lists!$B$340:$B$346</definedName>
    <definedName name="Tailings_Storage_Facilities">'Tailings Storage Facilities'!$C$5</definedName>
    <definedName name="Tank_base">Lists!$B$324:$B$329</definedName>
    <definedName name="Tank_liner">Lists!$B$332:$B$333</definedName>
    <definedName name="Tank_skin">Lists!$B$336:$B$337</definedName>
    <definedName name="Tank_top">Lists!$B$319:$B$321</definedName>
    <definedName name="Tank_type">Lists!$B$301:$B$311</definedName>
    <definedName name="Tank_wall">Lists!$B$314:$B$316</definedName>
    <definedName name="Tanker_capacity">'Assumptions - General'!$C$63</definedName>
    <definedName name="Tanker_liquids_pump_flowrate_oil">'Assumptions - General'!$C$64</definedName>
    <definedName name="Tanker_liquids_pump_flowrate_water">'Assumptions - General'!$C$65</definedName>
    <definedName name="Tanks_infra_names_CS">'Cost Schedule'!$C$1030:$C$1041</definedName>
    <definedName name="Tanks_infra_rates_CS">'Cost Schedule'!$D$1030:$D$1041</definedName>
    <definedName name="Tanks_vessels_names_CS">'Cost Schedule'!$C$1016:$C$1029</definedName>
    <definedName name="Tanks_vessels_rates_CS">'Cost Schedule'!$D$1016:$D$1029</definedName>
    <definedName name="Tarpaulin___industrial">Rates!$B$17</definedName>
    <definedName name="Tarpaulin_rate">Rates!$C$17</definedName>
    <definedName name="Thickening">Lists!$B$309</definedName>
    <definedName name="Thickening_tanks_steel_thickness">'Assumptions - General'!$C$119</definedName>
    <definedName name="Too_small">Lists!$B$11</definedName>
    <definedName name="Top">#REF!</definedName>
    <definedName name="top_CS">'Cost Schedule'!$B$7</definedName>
    <definedName name="Track">Lists!$B$154</definedName>
    <definedName name="Track_area_arid_names_CS">'Cost Schedule'!$C$1086:$C$1090</definedName>
    <definedName name="Track_area_arid_rates_A">#REF!</definedName>
    <definedName name="Track_area_arid_rates_CS">'Cost Schedule'!$D$1086:$D$1090</definedName>
    <definedName name="Track_area_names_CS">'Cost Schedule'!$C$1076:$C$1090</definedName>
    <definedName name="Track_area_native_names_CS">'Cost Schedule'!$C$1081:$C$1085</definedName>
    <definedName name="Track_area_native_rates_A">#REF!</definedName>
    <definedName name="Track_area_native_rates_CS">'Cost Schedule'!$D$1081:$D$1085</definedName>
    <definedName name="Track_area_pasture_names_CS">'Cost Schedule'!$C$1076:$C$1080</definedName>
    <definedName name="Track_area_pasture_rates_A">#REF!</definedName>
    <definedName name="Track_area_pasture_rates_CS">'Cost Schedule'!$D$1076:$D$1080</definedName>
    <definedName name="Track_area_rates_CS">'Cost Schedule'!$D$1076:$D$1090</definedName>
    <definedName name="Track_length_arid_names_CS">'Cost Schedule'!$C$1071:$C$1075</definedName>
    <definedName name="Track_length_arid_rates_A">#REF!</definedName>
    <definedName name="Track_length_arid_rates_CS">'Cost Schedule'!$D$1071:$D$1075</definedName>
    <definedName name="Track_length_names_CS">'Cost Schedule'!$C$1061:$C$1075</definedName>
    <definedName name="Track_length_native_names_CS">'Cost Schedule'!$C$1066:$C$1070</definedName>
    <definedName name="Track_length_native_rates_A">#REF!</definedName>
    <definedName name="Track_length_native_rates_CS">'Cost Schedule'!$D$1066:$D$1070</definedName>
    <definedName name="Track_length_pasture_names_CS">'Cost Schedule'!$C$1061:$C$1065</definedName>
    <definedName name="Track_length_pasture_rates_A">#REF!</definedName>
    <definedName name="Track_length_pasture_rates_CS">'Cost Schedule'!$D$1061:$D$1065</definedName>
    <definedName name="Track_length_rates_CS">'Cost Schedule'!$D$1061:$D$1075</definedName>
    <definedName name="Track_names_A">#REF!</definedName>
    <definedName name="Track_names_CS">'Cost Schedule'!$C$1061:$C$1075</definedName>
    <definedName name="Track_names_exploration_CS">'Cost Schedule'!$C$521:$C$524</definedName>
    <definedName name="Track_rock_gravel_bitumen_cover_thickness">'Assumptions - General'!$C$87</definedName>
    <definedName name="Track_width">'Assumptions - General'!$C$88</definedName>
    <definedName name="Transfer_loading_L">Lists!$B$170:$B$172</definedName>
    <definedName name="Tree_mature_planting_rate">'Assumptions - General'!$C$17</definedName>
    <definedName name="Tree_mature_rate">Rates!$C$142</definedName>
    <definedName name="Trees_mature">Lists!$B$251</definedName>
    <definedName name="Truck_725">Rates!$B$155</definedName>
    <definedName name="Truck_725_rate">Rates!$C$155</definedName>
    <definedName name="Truck_730">Rates!$B$156</definedName>
    <definedName name="Truck_730_rate">Rates!$C$156</definedName>
    <definedName name="Truck_735">Rates!$B$157</definedName>
    <definedName name="Truck_735_rate">Rates!$C$157</definedName>
    <definedName name="Truck_740">Rates!$B$158</definedName>
    <definedName name="Truck_740_rate">Rates!$C$158</definedName>
    <definedName name="Truck_740C__ADT">Rates!$B$171</definedName>
    <definedName name="Truck_740C_ADT_rate">Rates!$C$171</definedName>
    <definedName name="Truck_769_770_rate">Rates!$C$159</definedName>
    <definedName name="Truck_769D__770G">Rates!$B$159</definedName>
    <definedName name="Truck_773_rate">Rates!$C$160</definedName>
    <definedName name="Truck_773G">Rates!$B$160</definedName>
    <definedName name="Truck_777_rate">Rates!$C$161</definedName>
    <definedName name="Truck_777D_G">Rates!$B$161</definedName>
    <definedName name="Truck_785_rate">Rates!$C$162</definedName>
    <definedName name="Truck_785D">Rates!$B$162</definedName>
    <definedName name="Truck_789_rate">Rates!$C$163</definedName>
    <definedName name="Truck_789D">Rates!$B$163</definedName>
    <definedName name="Truck_793_rate">Rates!$C$164</definedName>
    <definedName name="Truck_793F">Rates!$B$164</definedName>
    <definedName name="Truck_797_rate">Rates!$C$165</definedName>
    <definedName name="Truck_797F">Rates!$B$165</definedName>
    <definedName name="Truck_Flatbed">Rates!$B$173</definedName>
    <definedName name="Truck_Flatbed_rate">Rates!$C$173</definedName>
    <definedName name="Truck_load_mass">Productivity!$D$121</definedName>
    <definedName name="Truck_module_speed_loaded">Productivity!$D$127</definedName>
    <definedName name="Truck_module_speed_unloaded">Productivity!$D$128</definedName>
    <definedName name="Truck_module_transport">Rates!$B$175</definedName>
    <definedName name="Truck_module_transport_rate">Rates!$C$175</definedName>
    <definedName name="Truck_semi_capacity_m3">Productivity!$D$122</definedName>
    <definedName name="Truck_Semi_tipper">Rates!$B$172</definedName>
    <definedName name="Truck_semi_tipper_rate">Rates!$C$172</definedName>
    <definedName name="Truck_shovel">Lists!$B$147</definedName>
    <definedName name="Truck_travel_speed_off_site___loaded">Productivity!$D$123</definedName>
    <definedName name="Truck_travel_speed_off_site___unloaded">Productivity!$D$124</definedName>
    <definedName name="Truck_travel_speed_on_site___loaded">Productivity!$D$125</definedName>
    <definedName name="Truck_travel_speed_on_site___unloaded">Productivity!$D$126</definedName>
    <definedName name="Truck_vacuum_tanker">Rates!$B$174</definedName>
    <definedName name="Truck_vacuum_tanker_rate">Rates!$C$174</definedName>
    <definedName name="Truck_water_tanker">Rates!$B$166</definedName>
    <definedName name="Truck_water_tanker_rate">Rates!$C$166</definedName>
    <definedName name="TSF_names_CS">'Cost Schedule'!$C$1010:$C$1014</definedName>
    <definedName name="TSF_rates_CS">'Cost Schedule'!$D$1010:$D$1014</definedName>
    <definedName name="TSF_UB_start">'Tailings Storage Facilities'!#REF!</definedName>
    <definedName name="Tube_stock">Lists!$B$250</definedName>
    <definedName name="Tube_stock_planting_rate">'Assumptions - General'!$C$16</definedName>
    <definedName name="Tube_stock_rate">Rates!$C$141</definedName>
    <definedName name="U_g_mine_top_soil_thickness">'Assumptions - General'!$C$127</definedName>
    <definedName name="Underground_mine_names">'Underground Mining Area'!$F$8:$I$8</definedName>
    <definedName name="Underground_Mining_Areas">'Underground Mining Area'!$B$6</definedName>
    <definedName name="Unlined">Lists!$B$333</definedName>
    <definedName name="USER_NOTES">'User Notes'!$B$4</definedName>
    <definedName name="Utilities_names_CS">'Cost Schedule'!$C$1105:$C$1107</definedName>
    <definedName name="Utilities_rates_CS">'Cost Schedule'!$D$1105:$D$1107</definedName>
    <definedName name="Utilities_units_CS">'Cost Schedule'!$E$1105:$E$1107</definedName>
    <definedName name="Utility_Truck">Rates!$B$127</definedName>
    <definedName name="Utility_Truck_rate">Rates!$C$127</definedName>
    <definedName name="VENM_backfill_buy_R">Rates!$C$86</definedName>
    <definedName name="Version_History">#REF!</definedName>
    <definedName name="Vertical_tank">Lists!$B$301</definedName>
    <definedName name="Very_Low_risk_cap">Lists!$B$69</definedName>
    <definedName name="Waste_gate_fee_names_R">Rates!$B$193:$B$203</definedName>
    <definedName name="Waste_gate_fee_rates_R">Rates!$C$193:$C$203</definedName>
    <definedName name="Waste_gate_fee_units_R">Rates!$D$193:$D$203</definedName>
    <definedName name="Waste_levy_names_L">Lists!$B$362:$B$364</definedName>
    <definedName name="Waste_levy_names_R">Rates!$B$205:$B$207</definedName>
    <definedName name="Waste_levy_rates_R">Rates!$C$205:$C$207</definedName>
    <definedName name="Waste_names_L">Lists!$B$349:$B$359</definedName>
    <definedName name="Waste_qty_units_L">Lists!$C$349:$C$359</definedName>
    <definedName name="Water">Rates!$B$137</definedName>
    <definedName name="Water_Management_Area">'Water Management Areas'!$C$5</definedName>
    <definedName name="Water_rate">Rates!$C$137</definedName>
    <definedName name="Water_treatment_names_CS">'Cost Schedule'!$C$1109:$C$1110</definedName>
    <definedName name="Water_treatment_rates_CS">'Cost Schedule'!$D$1109:$D$1110</definedName>
    <definedName name="Water_truck_19kL">Rates!$B$167</definedName>
    <definedName name="Water_truck_19kL_rate">Rates!$C$167</definedName>
    <definedName name="Water_truck_30kL">Rates!$B$168</definedName>
    <definedName name="Water_truck_30kL_rate">Rates!$C$168</definedName>
    <definedName name="Water_Truck_777G">Rates!$B$169</definedName>
    <definedName name="Water_truck_777G_rate">Rates!$C$169</definedName>
    <definedName name="Water_truck_785_rate">Rates!$C$170</definedName>
    <definedName name="Water_Truck_785D">Rates!$B$170</definedName>
    <definedName name="Welding_equip_rate">Rates!$C$124</definedName>
    <definedName name="Welding_Equipment">Rates!$B$124</definedName>
    <definedName name="Work_platform">Rates!$B$43</definedName>
    <definedName name="Work_platform_rate">Rates!$C$43</definedName>
    <definedName name="WRD_names_CS">'Cost Schedule'!$C$863:$C$868</definedName>
    <definedName name="WRD_rates_CS">'Cost Schedule'!$D$863:$D$868</definedName>
    <definedName name="Yes">Lists!$B$5</definedName>
    <definedName name="Yes_No_NA">Lists!$B$5:$B$8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85" i="224" l="1"/>
  <c r="G145" i="224"/>
  <c r="G55" i="224"/>
  <c r="G160" i="279"/>
  <c r="G209" i="279"/>
  <c r="G118" i="224"/>
  <c r="G49" i="224"/>
  <c r="G226" i="279"/>
  <c r="L37" i="273"/>
  <c r="F219" i="220"/>
  <c r="F115" i="220"/>
  <c r="F11" i="220"/>
  <c r="H12" i="278"/>
  <c r="D25" i="258"/>
  <c r="G12" i="278"/>
  <c r="P68" i="224"/>
  <c r="O68" i="224"/>
  <c r="N68" i="224"/>
  <c r="M68" i="224"/>
  <c r="L68" i="224"/>
  <c r="K68" i="224"/>
  <c r="J68" i="224"/>
  <c r="I68" i="224"/>
  <c r="H68" i="224"/>
  <c r="G68" i="224"/>
  <c r="P62" i="224"/>
  <c r="O62" i="224"/>
  <c r="N62" i="224"/>
  <c r="M62" i="224"/>
  <c r="L62" i="224"/>
  <c r="K62" i="224"/>
  <c r="J62" i="224"/>
  <c r="I62" i="224"/>
  <c r="H62" i="224"/>
  <c r="G62" i="224"/>
  <c r="E85" i="250"/>
  <c r="E86" i="250"/>
  <c r="E87" i="250"/>
  <c r="E88" i="250"/>
  <c r="G88" i="250" s="1"/>
  <c r="E89" i="250"/>
  <c r="G89" i="250" s="1"/>
  <c r="E90" i="250"/>
  <c r="G90" i="250" s="1"/>
  <c r="E91" i="250"/>
  <c r="G91" i="250" s="1"/>
  <c r="E84" i="250"/>
  <c r="D88" i="250"/>
  <c r="D89" i="250"/>
  <c r="D90" i="250"/>
  <c r="D91" i="250"/>
  <c r="E190" i="224" l="1"/>
  <c r="B8" i="280"/>
  <c r="B16" i="250"/>
  <c r="B25" i="250"/>
  <c r="B31" i="250"/>
  <c r="B36" i="250"/>
  <c r="B41" i="250"/>
  <c r="B51" i="250"/>
  <c r="B73" i="250"/>
  <c r="B82" i="250"/>
  <c r="B106" i="250"/>
  <c r="H4" i="278"/>
  <c r="I4" i="278"/>
  <c r="J4" i="278"/>
  <c r="K4" i="278"/>
  <c r="L4" i="278"/>
  <c r="M4" i="278"/>
  <c r="N4" i="278"/>
  <c r="O4" i="278"/>
  <c r="P4" i="278"/>
  <c r="G4" i="278"/>
  <c r="E38" i="278"/>
  <c r="B55" i="251" l="1"/>
  <c r="P379" i="224" l="1"/>
  <c r="P381" i="224" s="1"/>
  <c r="O379" i="224"/>
  <c r="O381" i="224" s="1"/>
  <c r="N379" i="224"/>
  <c r="N381" i="224" s="1"/>
  <c r="M379" i="224"/>
  <c r="M381" i="224" s="1"/>
  <c r="L379" i="224"/>
  <c r="L381" i="224" s="1"/>
  <c r="K379" i="224"/>
  <c r="K381" i="224" s="1"/>
  <c r="J379" i="224"/>
  <c r="J381" i="224" s="1"/>
  <c r="I379" i="224"/>
  <c r="I381" i="224" s="1"/>
  <c r="H379" i="224"/>
  <c r="H381" i="224" s="1"/>
  <c r="G379" i="224"/>
  <c r="G381" i="224" s="1"/>
  <c r="P355" i="224"/>
  <c r="O355" i="224"/>
  <c r="N355" i="224"/>
  <c r="M355" i="224"/>
  <c r="L355" i="224"/>
  <c r="K355" i="224"/>
  <c r="J355" i="224"/>
  <c r="I355" i="224"/>
  <c r="H355" i="224"/>
  <c r="G355" i="224"/>
  <c r="H338" i="224"/>
  <c r="I338" i="224"/>
  <c r="J338" i="224"/>
  <c r="K338" i="224"/>
  <c r="L338" i="224"/>
  <c r="M338" i="224"/>
  <c r="N338" i="224"/>
  <c r="O338" i="224"/>
  <c r="P338" i="224"/>
  <c r="G338" i="224"/>
  <c r="D379" i="224"/>
  <c r="P376" i="224"/>
  <c r="P378" i="224" s="1"/>
  <c r="O376" i="224"/>
  <c r="O378" i="224" s="1"/>
  <c r="N376" i="224"/>
  <c r="N378" i="224" s="1"/>
  <c r="M376" i="224"/>
  <c r="M378" i="224" s="1"/>
  <c r="L376" i="224"/>
  <c r="L378" i="224" s="1"/>
  <c r="K376" i="224"/>
  <c r="K378" i="224" s="1"/>
  <c r="J376" i="224"/>
  <c r="J378" i="224" s="1"/>
  <c r="I376" i="224"/>
  <c r="I378" i="224" s="1"/>
  <c r="H376" i="224"/>
  <c r="H378" i="224" s="1"/>
  <c r="G376" i="224"/>
  <c r="G378" i="224" s="1"/>
  <c r="D376" i="224"/>
  <c r="P373" i="224"/>
  <c r="P375" i="224" s="1"/>
  <c r="O373" i="224"/>
  <c r="O375" i="224" s="1"/>
  <c r="N373" i="224"/>
  <c r="N375" i="224" s="1"/>
  <c r="M373" i="224"/>
  <c r="M375" i="224" s="1"/>
  <c r="L373" i="224"/>
  <c r="L375" i="224" s="1"/>
  <c r="K373" i="224"/>
  <c r="K375" i="224" s="1"/>
  <c r="J373" i="224"/>
  <c r="J375" i="224" s="1"/>
  <c r="I373" i="224"/>
  <c r="I375" i="224" s="1"/>
  <c r="H373" i="224"/>
  <c r="H375" i="224" s="1"/>
  <c r="G373" i="224"/>
  <c r="G375" i="224" s="1"/>
  <c r="D373" i="224"/>
  <c r="G92" i="272"/>
  <c r="H92" i="272"/>
  <c r="I92" i="272"/>
  <c r="J92" i="272"/>
  <c r="K92" i="272"/>
  <c r="L92" i="272"/>
  <c r="M92" i="272"/>
  <c r="J382" i="224" l="1"/>
  <c r="M382" i="224"/>
  <c r="I382" i="224"/>
  <c r="P382" i="224"/>
  <c r="K382" i="224"/>
  <c r="O382" i="224"/>
  <c r="L382" i="224"/>
  <c r="N382" i="224"/>
  <c r="H382" i="224"/>
  <c r="G382" i="224"/>
  <c r="E24" i="275"/>
  <c r="H37" i="272" l="1"/>
  <c r="I37" i="272"/>
  <c r="J37" i="272"/>
  <c r="K37" i="272"/>
  <c r="L37" i="272"/>
  <c r="M37" i="272"/>
  <c r="D209" i="272"/>
  <c r="D215" i="272"/>
  <c r="D176" i="272"/>
  <c r="D166" i="272"/>
  <c r="D147" i="272"/>
  <c r="D105" i="272"/>
  <c r="D104" i="272"/>
  <c r="D103" i="272"/>
  <c r="D59" i="272"/>
  <c r="D58" i="272"/>
  <c r="D57" i="272"/>
  <c r="E427" i="224"/>
  <c r="E410" i="224"/>
  <c r="E270" i="224"/>
  <c r="E300" i="224"/>
  <c r="E331" i="224"/>
  <c r="E228" i="224"/>
  <c r="E211" i="224"/>
  <c r="E184" i="224"/>
  <c r="E169" i="224"/>
  <c r="E149" i="224"/>
  <c r="E143" i="224"/>
  <c r="E122" i="224"/>
  <c r="E116" i="224"/>
  <c r="E109" i="224"/>
  <c r="E78" i="224"/>
  <c r="E72" i="224"/>
  <c r="E15" i="224"/>
  <c r="E21" i="224"/>
  <c r="H458" i="279"/>
  <c r="H460" i="279" s="1"/>
  <c r="I458" i="279"/>
  <c r="I460" i="279" s="1"/>
  <c r="J458" i="279"/>
  <c r="J460" i="279" s="1"/>
  <c r="K458" i="279"/>
  <c r="K460" i="279" s="1"/>
  <c r="L458" i="279"/>
  <c r="L460" i="279" s="1"/>
  <c r="M458" i="279"/>
  <c r="M460" i="279" s="1"/>
  <c r="N458" i="279"/>
  <c r="N460" i="279" s="1"/>
  <c r="O458" i="279"/>
  <c r="O460" i="279" s="1"/>
  <c r="P458" i="279"/>
  <c r="P460" i="279" s="1"/>
  <c r="G458" i="279"/>
  <c r="G460" i="279" s="1"/>
  <c r="H420" i="279"/>
  <c r="H422" i="279" s="1"/>
  <c r="I420" i="279"/>
  <c r="I422" i="279" s="1"/>
  <c r="J420" i="279"/>
  <c r="J422" i="279" s="1"/>
  <c r="K420" i="279"/>
  <c r="K422" i="279" s="1"/>
  <c r="L420" i="279"/>
  <c r="L422" i="279" s="1"/>
  <c r="M420" i="279"/>
  <c r="M422" i="279" s="1"/>
  <c r="N420" i="279"/>
  <c r="N422" i="279" s="1"/>
  <c r="O420" i="279"/>
  <c r="O422" i="279" s="1"/>
  <c r="P420" i="279"/>
  <c r="P422" i="279" s="1"/>
  <c r="G420" i="279"/>
  <c r="G422" i="279" s="1"/>
  <c r="E441" i="279"/>
  <c r="P423" i="279"/>
  <c r="P425" i="279" s="1"/>
  <c r="O423" i="279"/>
  <c r="O425" i="279" s="1"/>
  <c r="N423" i="279"/>
  <c r="N425" i="279" s="1"/>
  <c r="M423" i="279"/>
  <c r="M425" i="279" s="1"/>
  <c r="L423" i="279"/>
  <c r="L425" i="279" s="1"/>
  <c r="K423" i="279"/>
  <c r="K425" i="279" s="1"/>
  <c r="J423" i="279"/>
  <c r="J425" i="279" s="1"/>
  <c r="I423" i="279"/>
  <c r="I425" i="279" s="1"/>
  <c r="H423" i="279"/>
  <c r="H425" i="279" s="1"/>
  <c r="G423" i="279"/>
  <c r="G425" i="279" s="1"/>
  <c r="D420" i="279"/>
  <c r="E245" i="279"/>
  <c r="E262" i="279"/>
  <c r="E224" i="279"/>
  <c r="E218" i="279"/>
  <c r="E208" i="279"/>
  <c r="E193" i="279"/>
  <c r="E169" i="279"/>
  <c r="E159" i="279"/>
  <c r="E105" i="279"/>
  <c r="E98" i="279"/>
  <c r="E78" i="279"/>
  <c r="E16" i="279"/>
  <c r="E278" i="279"/>
  <c r="E295" i="279"/>
  <c r="E314" i="279"/>
  <c r="E335" i="279"/>
  <c r="E372" i="279"/>
  <c r="E388" i="279"/>
  <c r="E407" i="279"/>
  <c r="E419" i="279"/>
  <c r="E457" i="279"/>
  <c r="E488" i="279"/>
  <c r="E500" i="279"/>
  <c r="I4" i="219"/>
  <c r="J4" i="219"/>
  <c r="K4" i="219"/>
  <c r="L4" i="219"/>
  <c r="M4" i="219"/>
  <c r="N4" i="219"/>
  <c r="O4" i="219"/>
  <c r="P4" i="219"/>
  <c r="G4" i="219"/>
  <c r="H211" i="219"/>
  <c r="I211" i="219"/>
  <c r="J211" i="219"/>
  <c r="K211" i="219"/>
  <c r="L211" i="219"/>
  <c r="M211" i="219"/>
  <c r="N211" i="219"/>
  <c r="O211" i="219"/>
  <c r="P211" i="219"/>
  <c r="G211" i="219"/>
  <c r="N5" i="278"/>
  <c r="O5" i="278"/>
  <c r="P5" i="278"/>
  <c r="E30" i="219"/>
  <c r="E75" i="219"/>
  <c r="E94" i="219"/>
  <c r="E115" i="219"/>
  <c r="E152" i="219"/>
  <c r="E168" i="219"/>
  <c r="E198" i="219"/>
  <c r="E210" i="219"/>
  <c r="E232" i="219"/>
  <c r="E249" i="219"/>
  <c r="E280" i="219"/>
  <c r="E292" i="219"/>
  <c r="E298" i="219"/>
  <c r="E310" i="219"/>
  <c r="D233" i="219"/>
  <c r="D211" i="219"/>
  <c r="E164" i="273"/>
  <c r="E181" i="273"/>
  <c r="E212" i="273"/>
  <c r="E218" i="273"/>
  <c r="E124" i="273"/>
  <c r="E141" i="273"/>
  <c r="E111" i="273"/>
  <c r="E104" i="273"/>
  <c r="E77" i="273"/>
  <c r="E72" i="273"/>
  <c r="E67" i="273"/>
  <c r="E61" i="273"/>
  <c r="E45" i="273"/>
  <c r="E51" i="273"/>
  <c r="K426" i="279" l="1"/>
  <c r="K428" i="279" s="1"/>
  <c r="M426" i="279"/>
  <c r="O426" i="279"/>
  <c r="O428" i="279" s="1"/>
  <c r="H426" i="279"/>
  <c r="H428" i="279" s="1"/>
  <c r="I426" i="279"/>
  <c r="P426" i="279"/>
  <c r="P428" i="279" s="1"/>
  <c r="G426" i="279"/>
  <c r="N426" i="279"/>
  <c r="N428" i="279" s="1"/>
  <c r="J426" i="279"/>
  <c r="J428" i="279" s="1"/>
  <c r="L426" i="279"/>
  <c r="M428" i="279"/>
  <c r="L428" i="279" l="1"/>
  <c r="I428" i="279"/>
  <c r="G428" i="279"/>
  <c r="E284" i="278"/>
  <c r="E267" i="278"/>
  <c r="E261" i="278"/>
  <c r="E249" i="278"/>
  <c r="E218" i="278"/>
  <c r="E201" i="278"/>
  <c r="E179" i="278"/>
  <c r="E167" i="278"/>
  <c r="E148" i="278"/>
  <c r="E132" i="278"/>
  <c r="E95" i="278"/>
  <c r="E74" i="278"/>
  <c r="E55" i="278"/>
  <c r="E32" i="278"/>
  <c r="E27" i="278"/>
  <c r="E16" i="278"/>
  <c r="D66" i="220"/>
  <c r="D89" i="220"/>
  <c r="D114" i="220"/>
  <c r="D124" i="220"/>
  <c r="D147" i="220"/>
  <c r="D175" i="220"/>
  <c r="D217" i="220"/>
  <c r="D223" i="220"/>
  <c r="D244" i="220"/>
  <c r="D256" i="220"/>
  <c r="D33" i="220"/>
  <c r="D50" i="220"/>
  <c r="F50" i="228"/>
  <c r="F52" i="228" s="1"/>
  <c r="G50" i="228"/>
  <c r="G52" i="228" s="1"/>
  <c r="H50" i="228"/>
  <c r="H52" i="228" s="1"/>
  <c r="I50" i="228"/>
  <c r="I52" i="228" s="1"/>
  <c r="J50" i="228"/>
  <c r="J52" i="228" s="1"/>
  <c r="K50" i="228"/>
  <c r="K52" i="228" s="1"/>
  <c r="L50" i="228"/>
  <c r="L52" i="228" s="1"/>
  <c r="M50" i="228"/>
  <c r="M52" i="228" s="1"/>
  <c r="N50" i="228"/>
  <c r="N52" i="228" s="1"/>
  <c r="O50" i="228"/>
  <c r="O52" i="228" s="1"/>
  <c r="P50" i="228"/>
  <c r="P52" i="228" s="1"/>
  <c r="Q50" i="228"/>
  <c r="Q52" i="228"/>
  <c r="D57" i="228"/>
  <c r="D96" i="228"/>
  <c r="D84" i="228"/>
  <c r="D63" i="228"/>
  <c r="D49" i="228"/>
  <c r="D32" i="228"/>
  <c r="D22" i="228"/>
  <c r="D17" i="228"/>
  <c r="C46" i="228"/>
  <c r="C42" i="228"/>
  <c r="C39" i="228"/>
  <c r="E18" i="275"/>
  <c r="E37" i="275"/>
  <c r="E58" i="275"/>
  <c r="E70" i="275"/>
  <c r="E76" i="275"/>
  <c r="G240" i="275"/>
  <c r="E228" i="275"/>
  <c r="E210" i="275"/>
  <c r="E175" i="275"/>
  <c r="E141" i="275"/>
  <c r="E111" i="275"/>
  <c r="D163" i="275"/>
  <c r="D166" i="275"/>
  <c r="E155" i="275"/>
  <c r="E30" i="275"/>
  <c r="P187" i="275" l="1"/>
  <c r="O187" i="275"/>
  <c r="N187" i="275"/>
  <c r="M187" i="275"/>
  <c r="L187" i="275"/>
  <c r="K187" i="275"/>
  <c r="J187" i="275"/>
  <c r="I187" i="275"/>
  <c r="H187" i="275"/>
  <c r="G187" i="275"/>
  <c r="O194" i="220"/>
  <c r="N194" i="220"/>
  <c r="M194" i="220"/>
  <c r="L194" i="220"/>
  <c r="K194" i="220"/>
  <c r="J194" i="220"/>
  <c r="I194" i="220"/>
  <c r="H194" i="220"/>
  <c r="G194" i="220"/>
  <c r="F194" i="220"/>
  <c r="G257" i="219"/>
  <c r="H257" i="219"/>
  <c r="I257" i="219"/>
  <c r="J257" i="219"/>
  <c r="K257" i="219"/>
  <c r="L257" i="219"/>
  <c r="M257" i="219"/>
  <c r="N257" i="219"/>
  <c r="O257" i="219"/>
  <c r="P257" i="219"/>
  <c r="P226" i="278"/>
  <c r="O226" i="278"/>
  <c r="N226" i="278"/>
  <c r="M226" i="278"/>
  <c r="L226" i="278"/>
  <c r="K226" i="278"/>
  <c r="J226" i="278"/>
  <c r="I226" i="278"/>
  <c r="H226" i="278"/>
  <c r="G226" i="278"/>
  <c r="Q189" i="273"/>
  <c r="P189" i="273"/>
  <c r="O189" i="273"/>
  <c r="N189" i="273"/>
  <c r="M189" i="273"/>
  <c r="L189" i="273"/>
  <c r="K189" i="273"/>
  <c r="J189" i="273"/>
  <c r="I189" i="273"/>
  <c r="H189" i="273"/>
  <c r="H250" i="219"/>
  <c r="H252" i="219" s="1"/>
  <c r="I250" i="219"/>
  <c r="I252" i="219" s="1"/>
  <c r="J250" i="219"/>
  <c r="J252" i="219" s="1"/>
  <c r="K250" i="219"/>
  <c r="K252" i="219" s="1"/>
  <c r="L250" i="219"/>
  <c r="L252" i="219" s="1"/>
  <c r="M250" i="219"/>
  <c r="M252" i="219" s="1"/>
  <c r="N250" i="219"/>
  <c r="N252" i="219" s="1"/>
  <c r="O250" i="219"/>
  <c r="O252" i="219" s="1"/>
  <c r="P250" i="219"/>
  <c r="P252" i="219" s="1"/>
  <c r="G250" i="219"/>
  <c r="H465" i="279"/>
  <c r="I465" i="279"/>
  <c r="J465" i="279"/>
  <c r="K465" i="279"/>
  <c r="L465" i="279"/>
  <c r="M465" i="279"/>
  <c r="N465" i="279"/>
  <c r="O465" i="279"/>
  <c r="P465" i="279"/>
  <c r="G465" i="279"/>
  <c r="P213" i="279"/>
  <c r="O213" i="279"/>
  <c r="N213" i="279"/>
  <c r="M213" i="279"/>
  <c r="L213" i="279"/>
  <c r="K213" i="279"/>
  <c r="J213" i="279"/>
  <c r="I213" i="279"/>
  <c r="H213" i="279"/>
  <c r="G213" i="279"/>
  <c r="G220" i="279" s="1"/>
  <c r="P387" i="224"/>
  <c r="O387" i="224"/>
  <c r="N387" i="224"/>
  <c r="M387" i="224"/>
  <c r="L387" i="224"/>
  <c r="K387" i="224"/>
  <c r="J387" i="224"/>
  <c r="I387" i="224"/>
  <c r="H387" i="224"/>
  <c r="G387" i="224"/>
  <c r="M181" i="272"/>
  <c r="L181" i="272"/>
  <c r="K181" i="272"/>
  <c r="J181" i="272"/>
  <c r="I181" i="272"/>
  <c r="H181" i="272"/>
  <c r="G181" i="272"/>
  <c r="F181" i="272"/>
  <c r="G466" i="279" l="1"/>
  <c r="O466" i="279"/>
  <c r="P258" i="219"/>
  <c r="H258" i="219"/>
  <c r="I258" i="219"/>
  <c r="L258" i="219"/>
  <c r="K258" i="219"/>
  <c r="J258" i="219"/>
  <c r="N258" i="219"/>
  <c r="O258" i="219"/>
  <c r="M258" i="219"/>
  <c r="P466" i="279"/>
  <c r="N466" i="279"/>
  <c r="M466" i="279"/>
  <c r="L466" i="279"/>
  <c r="K466" i="279"/>
  <c r="J466" i="279"/>
  <c r="I466" i="279"/>
  <c r="H466" i="279"/>
  <c r="J388" i="224"/>
  <c r="N388" i="224"/>
  <c r="M388" i="224"/>
  <c r="G388" i="224"/>
  <c r="O388" i="224"/>
  <c r="H388" i="224"/>
  <c r="P388" i="224"/>
  <c r="I388" i="224"/>
  <c r="K388" i="224"/>
  <c r="L388" i="224"/>
  <c r="H174" i="279" l="1"/>
  <c r="I174" i="279"/>
  <c r="J174" i="279"/>
  <c r="K174" i="279"/>
  <c r="L174" i="279"/>
  <c r="M174" i="279"/>
  <c r="N174" i="279"/>
  <c r="O174" i="279"/>
  <c r="P174" i="279"/>
  <c r="G174" i="279"/>
  <c r="H234" i="224"/>
  <c r="M171" i="272"/>
  <c r="L171" i="272"/>
  <c r="K171" i="272"/>
  <c r="J171" i="272"/>
  <c r="I171" i="272"/>
  <c r="H171" i="272"/>
  <c r="G171" i="272"/>
  <c r="F171" i="272"/>
  <c r="M152" i="272"/>
  <c r="L152" i="272"/>
  <c r="K152" i="272"/>
  <c r="J152" i="272"/>
  <c r="I152" i="272"/>
  <c r="H152" i="272"/>
  <c r="G152" i="272"/>
  <c r="F152" i="272"/>
  <c r="G138" i="272"/>
  <c r="H138" i="272"/>
  <c r="I138" i="272"/>
  <c r="J138" i="272"/>
  <c r="K138" i="272"/>
  <c r="L138" i="272"/>
  <c r="M138" i="272"/>
  <c r="F138" i="272"/>
  <c r="C153" i="272" l="1"/>
  <c r="M141" i="272"/>
  <c r="M142" i="272" s="1"/>
  <c r="L141" i="272"/>
  <c r="L142" i="272" s="1"/>
  <c r="K141" i="272"/>
  <c r="K142" i="272" s="1"/>
  <c r="J141" i="272"/>
  <c r="J142" i="272" s="1"/>
  <c r="I141" i="272"/>
  <c r="I142" i="272" s="1"/>
  <c r="H141" i="272"/>
  <c r="H142" i="272" s="1"/>
  <c r="G141" i="272"/>
  <c r="G142" i="272" s="1"/>
  <c r="F139" i="272"/>
  <c r="F141" i="272" s="1"/>
  <c r="F142" i="272" s="1"/>
  <c r="C139" i="272"/>
  <c r="I17" i="272"/>
  <c r="J17" i="272"/>
  <c r="K17" i="272"/>
  <c r="L17" i="272"/>
  <c r="I18" i="272"/>
  <c r="J18" i="272"/>
  <c r="K18" i="272"/>
  <c r="L18" i="272"/>
  <c r="I36" i="272"/>
  <c r="J36" i="272"/>
  <c r="K36" i="272"/>
  <c r="L36" i="272"/>
  <c r="I38" i="272"/>
  <c r="J38" i="272"/>
  <c r="K38" i="272"/>
  <c r="L38" i="272"/>
  <c r="I42" i="272"/>
  <c r="J42" i="272"/>
  <c r="K42" i="272"/>
  <c r="L42" i="272"/>
  <c r="I45" i="272"/>
  <c r="J45" i="272"/>
  <c r="K45" i="272"/>
  <c r="L45" i="272"/>
  <c r="I67" i="272"/>
  <c r="J67" i="272"/>
  <c r="K67" i="272"/>
  <c r="L67" i="272"/>
  <c r="I68" i="272"/>
  <c r="J68" i="272"/>
  <c r="K68" i="272"/>
  <c r="L68" i="272"/>
  <c r="I86" i="272"/>
  <c r="J86" i="272"/>
  <c r="K86" i="272"/>
  <c r="L86" i="272"/>
  <c r="F24" i="228"/>
  <c r="F26" i="228" s="1"/>
  <c r="F27" i="228" s="1"/>
  <c r="G141" i="220"/>
  <c r="H141" i="220"/>
  <c r="I141" i="220"/>
  <c r="J141" i="220"/>
  <c r="K141" i="220"/>
  <c r="L141" i="220"/>
  <c r="M141" i="220"/>
  <c r="N141" i="220"/>
  <c r="O141" i="220"/>
  <c r="F139" i="220"/>
  <c r="F141" i="220" s="1"/>
  <c r="I146" i="273"/>
  <c r="I148" i="273" s="1"/>
  <c r="J146" i="273"/>
  <c r="J148" i="273" s="1"/>
  <c r="K146" i="273"/>
  <c r="K148" i="273" s="1"/>
  <c r="L146" i="273"/>
  <c r="L148" i="273" s="1"/>
  <c r="M146" i="273"/>
  <c r="M148" i="273" s="1"/>
  <c r="N146" i="273"/>
  <c r="N148" i="273" s="1"/>
  <c r="O146" i="273"/>
  <c r="O148" i="273" s="1"/>
  <c r="P146" i="273"/>
  <c r="P148" i="273" s="1"/>
  <c r="Q146" i="273"/>
  <c r="Q148" i="273" s="1"/>
  <c r="H146" i="273"/>
  <c r="H148" i="273" s="1"/>
  <c r="K87" i="272" l="1"/>
  <c r="J87" i="272"/>
  <c r="I87" i="272"/>
  <c r="L87" i="272"/>
  <c r="L69" i="272"/>
  <c r="L40" i="272"/>
  <c r="K69" i="272"/>
  <c r="J69" i="272"/>
  <c r="I69" i="272"/>
  <c r="L46" i="272"/>
  <c r="L48" i="272" s="1"/>
  <c r="K46" i="272"/>
  <c r="K48" i="272" s="1"/>
  <c r="K44" i="272"/>
  <c r="I46" i="272"/>
  <c r="I48" i="272" s="1"/>
  <c r="J46" i="272"/>
  <c r="J48" i="272" s="1"/>
  <c r="K40" i="272"/>
  <c r="L19" i="272"/>
  <c r="I40" i="272"/>
  <c r="K19" i="272"/>
  <c r="J19" i="272"/>
  <c r="I19" i="272"/>
  <c r="L44" i="272"/>
  <c r="G315" i="279"/>
  <c r="G317" i="279" s="1"/>
  <c r="K72" i="272" l="1"/>
  <c r="K73" i="272" s="1"/>
  <c r="J72" i="272"/>
  <c r="J73" i="272" s="1"/>
  <c r="I72" i="272"/>
  <c r="I73" i="272" s="1"/>
  <c r="L72" i="272"/>
  <c r="L73" i="272" s="1"/>
  <c r="J22" i="272"/>
  <c r="J23" i="272" s="1"/>
  <c r="K70" i="272"/>
  <c r="L20" i="272"/>
  <c r="L22" i="272"/>
  <c r="L23" i="272" s="1"/>
  <c r="I20" i="272"/>
  <c r="I22" i="272"/>
  <c r="I23" i="272" s="1"/>
  <c r="K20" i="272"/>
  <c r="K22" i="272"/>
  <c r="K23" i="272" s="1"/>
  <c r="I70" i="272"/>
  <c r="L70" i="272"/>
  <c r="J70" i="272"/>
  <c r="J44" i="272"/>
  <c r="J40" i="272"/>
  <c r="J20" i="272"/>
  <c r="I44" i="272"/>
  <c r="I59" i="272" l="1"/>
  <c r="L59" i="272"/>
  <c r="K59" i="272"/>
  <c r="M5" i="219" l="1"/>
  <c r="N5" i="219"/>
  <c r="O5" i="219"/>
  <c r="P5" i="219"/>
  <c r="H492" i="279"/>
  <c r="I492" i="279"/>
  <c r="J492" i="279"/>
  <c r="K492" i="279"/>
  <c r="L492" i="279"/>
  <c r="M492" i="279"/>
  <c r="N492" i="279"/>
  <c r="O492" i="279"/>
  <c r="P492" i="279"/>
  <c r="G492" i="279"/>
  <c r="D170" i="224"/>
  <c r="H151" i="224"/>
  <c r="H153" i="224" s="1"/>
  <c r="H154" i="224" s="1"/>
  <c r="I151" i="224"/>
  <c r="I153" i="224" s="1"/>
  <c r="I154" i="224" s="1"/>
  <c r="J151" i="224"/>
  <c r="J153" i="224" s="1"/>
  <c r="J154" i="224" s="1"/>
  <c r="K151" i="224"/>
  <c r="K153" i="224" s="1"/>
  <c r="K154" i="224" s="1"/>
  <c r="L151" i="224"/>
  <c r="L153" i="224" s="1"/>
  <c r="L154" i="224" s="1"/>
  <c r="M151" i="224"/>
  <c r="M153" i="224" s="1"/>
  <c r="M154" i="224" s="1"/>
  <c r="N151" i="224"/>
  <c r="N153" i="224" s="1"/>
  <c r="N154" i="224" s="1"/>
  <c r="O151" i="224"/>
  <c r="O153" i="224" s="1"/>
  <c r="O154" i="224" s="1"/>
  <c r="P151" i="224"/>
  <c r="P153" i="224" s="1"/>
  <c r="P154" i="224" s="1"/>
  <c r="G151" i="224"/>
  <c r="G153" i="224" s="1"/>
  <c r="G154" i="224" s="1"/>
  <c r="D150" i="224"/>
  <c r="G193" i="224"/>
  <c r="H193" i="224"/>
  <c r="I193" i="224"/>
  <c r="J193" i="224"/>
  <c r="K193" i="224"/>
  <c r="L193" i="224"/>
  <c r="M193" i="224"/>
  <c r="N193" i="224"/>
  <c r="O193" i="224"/>
  <c r="P193" i="224"/>
  <c r="H194" i="224"/>
  <c r="H196" i="224" s="1"/>
  <c r="I194" i="224"/>
  <c r="I196" i="224" s="1"/>
  <c r="J194" i="224"/>
  <c r="J196" i="224" s="1"/>
  <c r="K194" i="224"/>
  <c r="K196" i="224" s="1"/>
  <c r="N194" i="224"/>
  <c r="N196" i="224" s="1"/>
  <c r="O194" i="224"/>
  <c r="O196" i="224" s="1"/>
  <c r="P194" i="224"/>
  <c r="P196" i="224" s="1"/>
  <c r="G198" i="224"/>
  <c r="H198" i="224"/>
  <c r="I198" i="224"/>
  <c r="J198" i="224"/>
  <c r="K198" i="224"/>
  <c r="L198" i="224"/>
  <c r="M198" i="224"/>
  <c r="N198" i="224"/>
  <c r="O198" i="224"/>
  <c r="P198" i="224"/>
  <c r="G213" i="224"/>
  <c r="H213" i="224"/>
  <c r="I213" i="224"/>
  <c r="J213" i="224"/>
  <c r="K213" i="224"/>
  <c r="L213" i="224"/>
  <c r="M213" i="224"/>
  <c r="N213" i="224"/>
  <c r="O213" i="224"/>
  <c r="P213" i="224"/>
  <c r="J207" i="224" l="1"/>
  <c r="I207" i="224"/>
  <c r="J4" i="271"/>
  <c r="M168" i="278"/>
  <c r="O168" i="278"/>
  <c r="P168" i="278"/>
  <c r="G168" i="278"/>
  <c r="N168" i="278"/>
  <c r="I168" i="278"/>
  <c r="J168" i="278"/>
  <c r="L168" i="278"/>
  <c r="H168" i="278"/>
  <c r="K168" i="278"/>
  <c r="K258" i="278"/>
  <c r="L258" i="278"/>
  <c r="I4" i="271"/>
  <c r="O29" i="278"/>
  <c r="H29" i="278"/>
  <c r="P29" i="278"/>
  <c r="N29" i="278"/>
  <c r="I29" i="278"/>
  <c r="G29" i="278"/>
  <c r="M29" i="278"/>
  <c r="J29" i="278"/>
  <c r="O207" i="224"/>
  <c r="H199" i="224"/>
  <c r="K207" i="224"/>
  <c r="I199" i="224"/>
  <c r="N199" i="224"/>
  <c r="O156" i="224"/>
  <c r="N207" i="224"/>
  <c r="O199" i="224"/>
  <c r="P207" i="224"/>
  <c r="H207" i="224"/>
  <c r="J199" i="224"/>
  <c r="P199" i="224"/>
  <c r="K199" i="224"/>
  <c r="H195" i="219" l="1"/>
  <c r="H197" i="219" s="1"/>
  <c r="I195" i="219"/>
  <c r="I197" i="219" s="1"/>
  <c r="J195" i="219"/>
  <c r="J197" i="219" s="1"/>
  <c r="K195" i="219"/>
  <c r="K197" i="219" s="1"/>
  <c r="L195" i="219"/>
  <c r="L197" i="219" s="1"/>
  <c r="M195" i="219"/>
  <c r="M197" i="219" s="1"/>
  <c r="N195" i="219"/>
  <c r="N197" i="219" s="1"/>
  <c r="O195" i="219"/>
  <c r="O197" i="219" s="1"/>
  <c r="P195" i="219"/>
  <c r="P197" i="219" s="1"/>
  <c r="G195" i="219"/>
  <c r="G197" i="219" s="1"/>
  <c r="H189" i="219"/>
  <c r="H191" i="219" s="1"/>
  <c r="I189" i="219"/>
  <c r="I191" i="219" s="1"/>
  <c r="J189" i="219"/>
  <c r="J191" i="219" s="1"/>
  <c r="K189" i="219"/>
  <c r="K191" i="219" s="1"/>
  <c r="L189" i="219"/>
  <c r="L191" i="219" s="1"/>
  <c r="M189" i="219"/>
  <c r="M191" i="219" s="1"/>
  <c r="N189" i="219"/>
  <c r="N191" i="219" s="1"/>
  <c r="O189" i="219"/>
  <c r="O191" i="219" s="1"/>
  <c r="P189" i="219"/>
  <c r="P191" i="219" s="1"/>
  <c r="G189" i="219"/>
  <c r="G191" i="219" s="1"/>
  <c r="R16" i="219"/>
  <c r="H16" i="219"/>
  <c r="H17" i="219" s="1"/>
  <c r="I16" i="219"/>
  <c r="I17" i="219" s="1"/>
  <c r="J16" i="219"/>
  <c r="J17" i="219" s="1"/>
  <c r="K16" i="219"/>
  <c r="K17" i="219" s="1"/>
  <c r="L16" i="219"/>
  <c r="L17" i="219" s="1"/>
  <c r="M16" i="219"/>
  <c r="M17" i="219" s="1"/>
  <c r="N16" i="219"/>
  <c r="N17" i="219" s="1"/>
  <c r="O16" i="219"/>
  <c r="O17" i="219" s="1"/>
  <c r="P16" i="219"/>
  <c r="P17" i="219" s="1"/>
  <c r="H20" i="219"/>
  <c r="I20" i="219"/>
  <c r="J20" i="219"/>
  <c r="K20" i="219"/>
  <c r="L20" i="219"/>
  <c r="M20" i="219"/>
  <c r="N20" i="219"/>
  <c r="O20" i="219"/>
  <c r="P20" i="219"/>
  <c r="G20" i="219"/>
  <c r="G16" i="219"/>
  <c r="G17" i="219" s="1"/>
  <c r="D16" i="219"/>
  <c r="I193" i="219" l="1"/>
  <c r="P193" i="219"/>
  <c r="H193" i="219"/>
  <c r="M193" i="219"/>
  <c r="N193" i="219"/>
  <c r="L193" i="219"/>
  <c r="R20" i="219"/>
  <c r="K193" i="219" l="1"/>
  <c r="J193" i="219"/>
  <c r="O193" i="219"/>
  <c r="G193" i="219"/>
  <c r="H442" i="279" l="1"/>
  <c r="I442" i="279"/>
  <c r="J442" i="279"/>
  <c r="K442" i="279"/>
  <c r="L442" i="279"/>
  <c r="M442" i="279"/>
  <c r="N442" i="279"/>
  <c r="O442" i="279"/>
  <c r="P442" i="279"/>
  <c r="G442" i="279"/>
  <c r="G252" i="219"/>
  <c r="H233" i="219"/>
  <c r="I233" i="219"/>
  <c r="J233" i="219"/>
  <c r="K233" i="219"/>
  <c r="L233" i="219"/>
  <c r="M233" i="219"/>
  <c r="N233" i="219"/>
  <c r="O233" i="219"/>
  <c r="P233" i="219"/>
  <c r="G233" i="219"/>
  <c r="H219" i="278"/>
  <c r="I219" i="278"/>
  <c r="J219" i="278"/>
  <c r="K219" i="278"/>
  <c r="L219" i="278"/>
  <c r="M219" i="278"/>
  <c r="N219" i="278"/>
  <c r="O219" i="278"/>
  <c r="P219" i="278"/>
  <c r="G219" i="278"/>
  <c r="H202" i="278"/>
  <c r="I202" i="278"/>
  <c r="J202" i="278"/>
  <c r="K202" i="278"/>
  <c r="L202" i="278"/>
  <c r="M202" i="278"/>
  <c r="N202" i="278"/>
  <c r="O202" i="278"/>
  <c r="P202" i="278"/>
  <c r="G202" i="278"/>
  <c r="G258" i="219" l="1"/>
  <c r="B92" i="264" l="1"/>
  <c r="B84" i="264"/>
  <c r="B83" i="264"/>
  <c r="B82" i="264"/>
  <c r="B81" i="264"/>
  <c r="B80" i="264"/>
  <c r="B77" i="264"/>
  <c r="B76" i="264"/>
  <c r="B74" i="264"/>
  <c r="B75" i="264"/>
  <c r="B73" i="264"/>
  <c r="B72" i="264"/>
  <c r="B71" i="264"/>
  <c r="H87" i="273"/>
  <c r="H91" i="273"/>
  <c r="H93" i="273" s="1"/>
  <c r="H96" i="273"/>
  <c r="H106" i="273" s="1"/>
  <c r="H97" i="273"/>
  <c r="H98" i="273" s="1"/>
  <c r="H125" i="273"/>
  <c r="H130" i="273"/>
  <c r="H142" i="273"/>
  <c r="D218" i="273"/>
  <c r="H92" i="273" l="1"/>
  <c r="H99" i="273"/>
  <c r="H112" i="273" s="1"/>
  <c r="H133" i="273"/>
  <c r="H102" i="273"/>
  <c r="H100" i="273"/>
  <c r="H101" i="273" s="1"/>
  <c r="J24" i="228"/>
  <c r="J26" i="228" s="1"/>
  <c r="J27" i="228" s="1"/>
  <c r="K24" i="228"/>
  <c r="K26" i="228" s="1"/>
  <c r="K27" i="228" s="1"/>
  <c r="L24" i="228"/>
  <c r="L26" i="228" s="1"/>
  <c r="L27" i="228" s="1"/>
  <c r="M24" i="228"/>
  <c r="M26" i="228" s="1"/>
  <c r="M27" i="228" s="1"/>
  <c r="N24" i="228"/>
  <c r="N26" i="228" s="1"/>
  <c r="N27" i="228" s="1"/>
  <c r="O24" i="228"/>
  <c r="O26" i="228" s="1"/>
  <c r="O27" i="228" s="1"/>
  <c r="P24" i="228"/>
  <c r="P26" i="228" s="1"/>
  <c r="P27" i="228" s="1"/>
  <c r="Q24" i="228"/>
  <c r="Q26" i="228" s="1"/>
  <c r="Q27" i="228" s="1"/>
  <c r="J33" i="228"/>
  <c r="K33" i="228"/>
  <c r="L33" i="228"/>
  <c r="M33" i="228"/>
  <c r="M35" i="228" s="1"/>
  <c r="N33" i="228"/>
  <c r="N35" i="228" s="1"/>
  <c r="O33" i="228"/>
  <c r="O35" i="228" s="1"/>
  <c r="P33" i="228"/>
  <c r="P35" i="228" s="1"/>
  <c r="Q33" i="228"/>
  <c r="Q35" i="228" s="1"/>
  <c r="J35" i="228"/>
  <c r="K35" i="228"/>
  <c r="L35" i="228"/>
  <c r="J66" i="228"/>
  <c r="K66" i="228"/>
  <c r="L66" i="228"/>
  <c r="M66" i="228"/>
  <c r="N66" i="228"/>
  <c r="O66" i="228"/>
  <c r="P66" i="228"/>
  <c r="Q66" i="228"/>
  <c r="J67" i="228"/>
  <c r="J69" i="228" s="1"/>
  <c r="L67" i="228"/>
  <c r="L69" i="228" s="1"/>
  <c r="M67" i="228"/>
  <c r="M69" i="228" s="1"/>
  <c r="N67" i="228"/>
  <c r="N69" i="228" s="1"/>
  <c r="O67" i="228"/>
  <c r="O69" i="228" s="1"/>
  <c r="J71" i="228"/>
  <c r="K71" i="228"/>
  <c r="L71" i="228"/>
  <c r="M71" i="228"/>
  <c r="N71" i="228"/>
  <c r="O71" i="228"/>
  <c r="P71" i="228"/>
  <c r="Q71" i="228"/>
  <c r="J86" i="228"/>
  <c r="J89" i="228" s="1"/>
  <c r="K86" i="228"/>
  <c r="K89" i="228" s="1"/>
  <c r="L86" i="228"/>
  <c r="L89" i="228" s="1"/>
  <c r="M86" i="228"/>
  <c r="M89" i="228" s="1"/>
  <c r="N86" i="228"/>
  <c r="N89" i="228" s="1"/>
  <c r="O86" i="228"/>
  <c r="O89" i="228" s="1"/>
  <c r="P86" i="228"/>
  <c r="P89" i="228" s="1"/>
  <c r="Q86" i="228"/>
  <c r="Q89" i="228" s="1"/>
  <c r="J87" i="228"/>
  <c r="K87" i="228"/>
  <c r="L87" i="228"/>
  <c r="M87" i="228"/>
  <c r="N87" i="228"/>
  <c r="O87" i="228"/>
  <c r="P87" i="228"/>
  <c r="Q87" i="228"/>
  <c r="J102" i="228"/>
  <c r="K102" i="228"/>
  <c r="L102" i="228"/>
  <c r="M102" i="228"/>
  <c r="N102" i="228"/>
  <c r="O102" i="228"/>
  <c r="P102" i="228"/>
  <c r="Q102" i="228"/>
  <c r="H117" i="273" l="1"/>
  <c r="H119" i="273" s="1"/>
  <c r="H143" i="273"/>
  <c r="H145" i="273" s="1"/>
  <c r="H149" i="273" s="1"/>
  <c r="H126" i="273"/>
  <c r="H131" i="273" s="1"/>
  <c r="H103" i="273"/>
  <c r="O80" i="228"/>
  <c r="O72" i="228"/>
  <c r="J80" i="228"/>
  <c r="J72" i="228"/>
  <c r="N72" i="228"/>
  <c r="N80" i="228"/>
  <c r="M80" i="228"/>
  <c r="M72" i="228"/>
  <c r="L80" i="228"/>
  <c r="L72" i="228"/>
  <c r="F16" i="275"/>
  <c r="F15" i="275"/>
  <c r="P14" i="275"/>
  <c r="O14" i="275"/>
  <c r="N14" i="275"/>
  <c r="M14" i="275"/>
  <c r="L14" i="275"/>
  <c r="K14" i="275"/>
  <c r="J14" i="275"/>
  <c r="I14" i="275"/>
  <c r="H14" i="275"/>
  <c r="G14" i="275"/>
  <c r="H45" i="275"/>
  <c r="I45" i="275"/>
  <c r="J45" i="275"/>
  <c r="K45" i="275"/>
  <c r="L45" i="275"/>
  <c r="M45" i="275"/>
  <c r="N45" i="275"/>
  <c r="O45" i="275"/>
  <c r="P45" i="275"/>
  <c r="P40" i="275"/>
  <c r="O40" i="275"/>
  <c r="N40" i="275"/>
  <c r="M40" i="275"/>
  <c r="L40" i="275"/>
  <c r="K40" i="275"/>
  <c r="J40" i="275"/>
  <c r="I40" i="275"/>
  <c r="H40" i="275"/>
  <c r="G40" i="275"/>
  <c r="G67" i="228"/>
  <c r="H67" i="228"/>
  <c r="I67" i="228"/>
  <c r="F67" i="228"/>
  <c r="I66" i="228"/>
  <c r="H66" i="228"/>
  <c r="G66" i="228"/>
  <c r="F66" i="228"/>
  <c r="O226" i="220"/>
  <c r="N226" i="220"/>
  <c r="M226" i="220"/>
  <c r="L226" i="220"/>
  <c r="K226" i="220"/>
  <c r="J226" i="220"/>
  <c r="I226" i="220"/>
  <c r="H226" i="220"/>
  <c r="G226" i="220"/>
  <c r="F226" i="220"/>
  <c r="P227" i="279"/>
  <c r="O227" i="279"/>
  <c r="N227" i="279"/>
  <c r="M227" i="279"/>
  <c r="L227" i="279"/>
  <c r="K227" i="279"/>
  <c r="J227" i="279"/>
  <c r="I227" i="279"/>
  <c r="H227" i="279"/>
  <c r="G227" i="279"/>
  <c r="H175" i="279"/>
  <c r="H177" i="279" s="1"/>
  <c r="H178" i="279" s="1"/>
  <c r="I175" i="279"/>
  <c r="I177" i="279" s="1"/>
  <c r="I178" i="279" s="1"/>
  <c r="J175" i="279"/>
  <c r="J177" i="279" s="1"/>
  <c r="J178" i="279" s="1"/>
  <c r="K175" i="279"/>
  <c r="K177" i="279" s="1"/>
  <c r="K178" i="279" s="1"/>
  <c r="L175" i="279"/>
  <c r="L177" i="279" s="1"/>
  <c r="L178" i="279" s="1"/>
  <c r="M175" i="279"/>
  <c r="M177" i="279" s="1"/>
  <c r="M178" i="279" s="1"/>
  <c r="N175" i="279"/>
  <c r="N177" i="279" s="1"/>
  <c r="N178" i="279" s="1"/>
  <c r="O175" i="279"/>
  <c r="O177" i="279" s="1"/>
  <c r="O178" i="279" s="1"/>
  <c r="P175" i="279"/>
  <c r="P177" i="279" s="1"/>
  <c r="P178" i="279" s="1"/>
  <c r="G175" i="279"/>
  <c r="G177" i="279" s="1"/>
  <c r="G178" i="279" s="1"/>
  <c r="D170" i="279"/>
  <c r="D180" i="278"/>
  <c r="Q142" i="273"/>
  <c r="P142" i="273"/>
  <c r="O142" i="273"/>
  <c r="N142" i="273"/>
  <c r="M142" i="273"/>
  <c r="L142" i="273"/>
  <c r="K142" i="273"/>
  <c r="J142" i="273"/>
  <c r="I142" i="273"/>
  <c r="D142" i="273"/>
  <c r="H182" i="273" l="1"/>
  <c r="H184" i="273" s="1"/>
  <c r="H165" i="273"/>
  <c r="H167" i="273" s="1"/>
  <c r="H134" i="273"/>
  <c r="H151" i="273"/>
  <c r="J180" i="279"/>
  <c r="I180" i="279"/>
  <c r="M180" i="279"/>
  <c r="L180" i="279"/>
  <c r="K180" i="279"/>
  <c r="N180" i="279"/>
  <c r="G180" i="279"/>
  <c r="O180" i="279"/>
  <c r="H180" i="279"/>
  <c r="P180" i="279"/>
  <c r="H190" i="273" l="1"/>
  <c r="G181" i="219" l="1"/>
  <c r="G175" i="219"/>
  <c r="G169" i="219"/>
  <c r="G183" i="219"/>
  <c r="G177" i="219"/>
  <c r="G171" i="219"/>
  <c r="J92" i="228" l="1"/>
  <c r="M92" i="228"/>
  <c r="P92" i="228"/>
  <c r="Q92" i="228"/>
  <c r="K92" i="228"/>
  <c r="O92" i="228"/>
  <c r="L92" i="228"/>
  <c r="N92" i="228"/>
  <c r="G45" i="275" l="1"/>
  <c r="P41" i="275"/>
  <c r="P43" i="275" s="1"/>
  <c r="P46" i="275" s="1"/>
  <c r="O41" i="275"/>
  <c r="K41" i="275"/>
  <c r="K43" i="275" s="1"/>
  <c r="K46" i="275" s="1"/>
  <c r="J41" i="275"/>
  <c r="J43" i="275" s="1"/>
  <c r="J46" i="275" s="1"/>
  <c r="I41" i="275"/>
  <c r="I43" i="275" s="1"/>
  <c r="I46" i="275" s="1"/>
  <c r="H41" i="275"/>
  <c r="H43" i="275" s="1"/>
  <c r="H46" i="275" s="1"/>
  <c r="G41" i="275"/>
  <c r="I71" i="228"/>
  <c r="H71" i="228"/>
  <c r="G71" i="228"/>
  <c r="F71" i="228"/>
  <c r="I69" i="228"/>
  <c r="H69" i="228"/>
  <c r="G69" i="228"/>
  <c r="O231" i="220"/>
  <c r="N231" i="220"/>
  <c r="M231" i="220"/>
  <c r="L231" i="220"/>
  <c r="K231" i="220"/>
  <c r="J231" i="220"/>
  <c r="I231" i="220"/>
  <c r="H231" i="220"/>
  <c r="G231" i="220"/>
  <c r="F231" i="220"/>
  <c r="O227" i="220"/>
  <c r="N227" i="220"/>
  <c r="J227" i="220"/>
  <c r="I227" i="220"/>
  <c r="I229" i="220" s="1"/>
  <c r="H227" i="220"/>
  <c r="H229" i="220" s="1"/>
  <c r="G227" i="220"/>
  <c r="F227" i="220"/>
  <c r="P232" i="279"/>
  <c r="O232" i="279"/>
  <c r="N232" i="279"/>
  <c r="M232" i="279"/>
  <c r="L232" i="279"/>
  <c r="K232" i="279"/>
  <c r="J232" i="279"/>
  <c r="I232" i="279"/>
  <c r="H232" i="279"/>
  <c r="G232" i="279"/>
  <c r="P228" i="279"/>
  <c r="O228" i="279"/>
  <c r="L228" i="279"/>
  <c r="L230" i="279" s="1"/>
  <c r="K228" i="279"/>
  <c r="K230" i="279" s="1"/>
  <c r="J228" i="279"/>
  <c r="J230" i="279" s="1"/>
  <c r="I228" i="279"/>
  <c r="H228" i="279"/>
  <c r="G228" i="279"/>
  <c r="M194" i="224"/>
  <c r="M196" i="224" s="1"/>
  <c r="L194" i="224"/>
  <c r="L196" i="224" s="1"/>
  <c r="L207" i="224" l="1"/>
  <c r="L199" i="224"/>
  <c r="M199" i="224"/>
  <c r="M207" i="224"/>
  <c r="Q67" i="228"/>
  <c r="Q69" i="228" s="1"/>
  <c r="P67" i="228"/>
  <c r="P69" i="228" s="1"/>
  <c r="K227" i="220"/>
  <c r="K229" i="220" s="1"/>
  <c r="K232" i="220" s="1"/>
  <c r="L41" i="275"/>
  <c r="L43" i="275" s="1"/>
  <c r="L46" i="275" s="1"/>
  <c r="N228" i="279"/>
  <c r="N230" i="279" s="1"/>
  <c r="N233" i="279" s="1"/>
  <c r="K67" i="228"/>
  <c r="K69" i="228" s="1"/>
  <c r="H232" i="220"/>
  <c r="I232" i="220"/>
  <c r="I72" i="228"/>
  <c r="H72" i="228"/>
  <c r="J233" i="279"/>
  <c r="K233" i="279"/>
  <c r="G72" i="228"/>
  <c r="L233" i="279"/>
  <c r="M41" i="275"/>
  <c r="M43" i="275" s="1"/>
  <c r="M46" i="275" s="1"/>
  <c r="N41" i="275"/>
  <c r="N43" i="275" s="1"/>
  <c r="N46" i="275" s="1"/>
  <c r="L227" i="220"/>
  <c r="L229" i="220" s="1"/>
  <c r="M228" i="279"/>
  <c r="M230" i="279" s="1"/>
  <c r="M227" i="220"/>
  <c r="M229" i="220" s="1"/>
  <c r="J229" i="220"/>
  <c r="J232" i="220" s="1"/>
  <c r="G43" i="275"/>
  <c r="G46" i="275" s="1"/>
  <c r="O43" i="275"/>
  <c r="O46" i="275" s="1"/>
  <c r="F69" i="228"/>
  <c r="F229" i="220"/>
  <c r="N229" i="220"/>
  <c r="N232" i="220" s="1"/>
  <c r="G229" i="220"/>
  <c r="G232" i="220" s="1"/>
  <c r="O229" i="220"/>
  <c r="O232" i="220" s="1"/>
  <c r="O230" i="279"/>
  <c r="G230" i="279"/>
  <c r="G233" i="279" s="1"/>
  <c r="H230" i="279"/>
  <c r="P230" i="279"/>
  <c r="I230" i="279"/>
  <c r="I233" i="279" s="1"/>
  <c r="K80" i="228" l="1"/>
  <c r="K72" i="228"/>
  <c r="P72" i="228"/>
  <c r="P80" i="228"/>
  <c r="Q72" i="228"/>
  <c r="Q80" i="228"/>
  <c r="F232" i="220"/>
  <c r="M232" i="220"/>
  <c r="H233" i="279"/>
  <c r="P233" i="279"/>
  <c r="O233" i="279"/>
  <c r="F72" i="228"/>
  <c r="L232" i="220"/>
  <c r="M233" i="279"/>
  <c r="K247" i="279"/>
  <c r="K250" i="279" s="1"/>
  <c r="L247" i="279"/>
  <c r="L250" i="279" s="1"/>
  <c r="M247" i="279"/>
  <c r="M250" i="279" s="1"/>
  <c r="N247" i="279"/>
  <c r="N250" i="279" s="1"/>
  <c r="O247" i="279"/>
  <c r="O250" i="279" s="1"/>
  <c r="P247" i="279"/>
  <c r="P250" i="279" s="1"/>
  <c r="G248" i="279"/>
  <c r="H248" i="279"/>
  <c r="I248" i="279"/>
  <c r="J248" i="279"/>
  <c r="K248" i="279"/>
  <c r="L248" i="279"/>
  <c r="M248" i="279"/>
  <c r="N248" i="279"/>
  <c r="O248" i="279"/>
  <c r="P248" i="279"/>
  <c r="G300" i="219"/>
  <c r="G303" i="219" s="1"/>
  <c r="H300" i="219"/>
  <c r="H303" i="219" s="1"/>
  <c r="I300" i="219"/>
  <c r="I303" i="219" s="1"/>
  <c r="J300" i="219"/>
  <c r="J303" i="219" s="1"/>
  <c r="K300" i="219"/>
  <c r="K303" i="219" s="1"/>
  <c r="L300" i="219"/>
  <c r="L303" i="219" s="1"/>
  <c r="M300" i="219"/>
  <c r="M303" i="219" s="1"/>
  <c r="N300" i="219"/>
  <c r="N303" i="219" s="1"/>
  <c r="O300" i="219"/>
  <c r="O303" i="219" s="1"/>
  <c r="P300" i="219"/>
  <c r="P303" i="219" s="1"/>
  <c r="G301" i="219"/>
  <c r="H301" i="219"/>
  <c r="I301" i="219"/>
  <c r="J301" i="219"/>
  <c r="K301" i="219"/>
  <c r="L301" i="219"/>
  <c r="M301" i="219"/>
  <c r="N301" i="219"/>
  <c r="O301" i="219"/>
  <c r="P301" i="219"/>
  <c r="G269" i="278"/>
  <c r="G272" i="278" s="1"/>
  <c r="H269" i="278"/>
  <c r="H272" i="278" s="1"/>
  <c r="I269" i="278"/>
  <c r="I272" i="278" s="1"/>
  <c r="J269" i="278"/>
  <c r="J272" i="278" s="1"/>
  <c r="K269" i="278"/>
  <c r="K272" i="278" s="1"/>
  <c r="L269" i="278"/>
  <c r="L272" i="278" s="1"/>
  <c r="M269" i="278"/>
  <c r="M272" i="278" s="1"/>
  <c r="N269" i="278"/>
  <c r="N272" i="278" s="1"/>
  <c r="O269" i="278"/>
  <c r="O272" i="278" s="1"/>
  <c r="P269" i="278"/>
  <c r="P272" i="278" s="1"/>
  <c r="G270" i="278"/>
  <c r="H270" i="278"/>
  <c r="I270" i="278"/>
  <c r="J270" i="278"/>
  <c r="K270" i="278"/>
  <c r="L270" i="278"/>
  <c r="M270" i="278"/>
  <c r="N270" i="278"/>
  <c r="O270" i="278"/>
  <c r="P270" i="278"/>
  <c r="F246" i="220"/>
  <c r="F249" i="220" s="1"/>
  <c r="G246" i="220"/>
  <c r="G249" i="220" s="1"/>
  <c r="H246" i="220"/>
  <c r="H249" i="220" s="1"/>
  <c r="I246" i="220"/>
  <c r="I249" i="220" s="1"/>
  <c r="J246" i="220"/>
  <c r="J249" i="220" s="1"/>
  <c r="K246" i="220"/>
  <c r="K249" i="220" s="1"/>
  <c r="L246" i="220"/>
  <c r="L249" i="220" s="1"/>
  <c r="M246" i="220"/>
  <c r="M249" i="220" s="1"/>
  <c r="N246" i="220"/>
  <c r="N249" i="220" s="1"/>
  <c r="O246" i="220"/>
  <c r="O249" i="220" s="1"/>
  <c r="F247" i="220"/>
  <c r="G247" i="220"/>
  <c r="H247" i="220"/>
  <c r="I247" i="220"/>
  <c r="J247" i="220"/>
  <c r="K247" i="220"/>
  <c r="L247" i="220"/>
  <c r="M247" i="220"/>
  <c r="N247" i="220"/>
  <c r="O247" i="220"/>
  <c r="K60" i="275"/>
  <c r="K63" i="275" s="1"/>
  <c r="L60" i="275"/>
  <c r="L63" i="275" s="1"/>
  <c r="M60" i="275"/>
  <c r="M63" i="275" s="1"/>
  <c r="N60" i="275"/>
  <c r="N63" i="275" s="1"/>
  <c r="O60" i="275"/>
  <c r="O63" i="275" s="1"/>
  <c r="P60" i="275"/>
  <c r="P63" i="275" s="1"/>
  <c r="K61" i="275"/>
  <c r="L61" i="275"/>
  <c r="M61" i="275"/>
  <c r="N61" i="275"/>
  <c r="O61" i="275"/>
  <c r="P61" i="275"/>
  <c r="G60" i="275"/>
  <c r="G63" i="275" s="1"/>
  <c r="H60" i="275"/>
  <c r="H63" i="275" s="1"/>
  <c r="I60" i="275"/>
  <c r="I63" i="275" s="1"/>
  <c r="J60" i="275"/>
  <c r="J63" i="275" s="1"/>
  <c r="G61" i="275"/>
  <c r="H61" i="275"/>
  <c r="I61" i="275"/>
  <c r="J61" i="275"/>
  <c r="G86" i="228"/>
  <c r="G89" i="228" s="1"/>
  <c r="H86" i="228"/>
  <c r="H89" i="228" s="1"/>
  <c r="I86" i="228"/>
  <c r="I89" i="228" s="1"/>
  <c r="G87" i="228"/>
  <c r="H87" i="228"/>
  <c r="I87" i="228"/>
  <c r="F86" i="228"/>
  <c r="F89" i="228" s="1"/>
  <c r="F87" i="228"/>
  <c r="O54" i="275" l="1"/>
  <c r="G54" i="275"/>
  <c r="N240" i="220"/>
  <c r="F240" i="220"/>
  <c r="M241" i="279"/>
  <c r="N54" i="275"/>
  <c r="M240" i="220"/>
  <c r="L241" i="279"/>
  <c r="H241" i="279"/>
  <c r="M54" i="275"/>
  <c r="L240" i="220"/>
  <c r="K241" i="279"/>
  <c r="I240" i="220"/>
  <c r="P241" i="279"/>
  <c r="L54" i="275"/>
  <c r="I80" i="228"/>
  <c r="K240" i="220"/>
  <c r="J241" i="279"/>
  <c r="J54" i="275"/>
  <c r="G80" i="228"/>
  <c r="K54" i="275"/>
  <c r="H80" i="228"/>
  <c r="J240" i="220"/>
  <c r="I241" i="279"/>
  <c r="I54" i="275"/>
  <c r="F80" i="228"/>
  <c r="H240" i="220"/>
  <c r="O241" i="279"/>
  <c r="G241" i="279"/>
  <c r="P54" i="275"/>
  <c r="H54" i="275"/>
  <c r="O240" i="220"/>
  <c r="G240" i="220"/>
  <c r="N241" i="279"/>
  <c r="B6" i="218" l="1"/>
  <c r="H19" i="278"/>
  <c r="I19" i="278"/>
  <c r="J19" i="278"/>
  <c r="K19" i="278"/>
  <c r="L19" i="278"/>
  <c r="M19" i="278"/>
  <c r="N19" i="278"/>
  <c r="O19" i="278"/>
  <c r="P19" i="278"/>
  <c r="G19" i="278"/>
  <c r="H33" i="219"/>
  <c r="I33" i="219"/>
  <c r="J33" i="219"/>
  <c r="K33" i="219"/>
  <c r="L33" i="219"/>
  <c r="M33" i="219"/>
  <c r="N33" i="219"/>
  <c r="O33" i="219"/>
  <c r="P33" i="219"/>
  <c r="G33" i="219"/>
  <c r="D66" i="250" l="1"/>
  <c r="D64" i="250"/>
  <c r="D59" i="250"/>
  <c r="D65" i="250"/>
  <c r="H186" i="272"/>
  <c r="H187" i="272" s="1"/>
  <c r="G186" i="272"/>
  <c r="G187" i="272" s="1"/>
  <c r="F186" i="272"/>
  <c r="F187" i="272" s="1"/>
  <c r="M186" i="272"/>
  <c r="M187" i="272" s="1"/>
  <c r="L186" i="272"/>
  <c r="L187" i="272" s="1"/>
  <c r="K186" i="272"/>
  <c r="K187" i="272" s="1"/>
  <c r="J186" i="272"/>
  <c r="J187" i="272" s="1"/>
  <c r="I186" i="272"/>
  <c r="I187" i="272" s="1"/>
  <c r="B105" i="264"/>
  <c r="D77" i="250"/>
  <c r="D78" i="250"/>
  <c r="D79" i="250"/>
  <c r="D80" i="250"/>
  <c r="D81" i="250"/>
  <c r="D76" i="250"/>
  <c r="D72" i="250"/>
  <c r="D68" i="250"/>
  <c r="D69" i="250"/>
  <c r="D70" i="250"/>
  <c r="D71" i="250"/>
  <c r="D67" i="250"/>
  <c r="D50" i="250"/>
  <c r="D45" i="250"/>
  <c r="D46" i="250"/>
  <c r="D47" i="250"/>
  <c r="D48" i="250"/>
  <c r="D49" i="250"/>
  <c r="D44" i="250"/>
  <c r="G95" i="250" l="1"/>
  <c r="G96" i="250"/>
  <c r="G97" i="250"/>
  <c r="G98" i="250"/>
  <c r="G99" i="250"/>
  <c r="G100" i="250"/>
  <c r="G101" i="250"/>
  <c r="G102" i="250"/>
  <c r="G103" i="250"/>
  <c r="G104" i="250"/>
  <c r="G105" i="250"/>
  <c r="G94" i="250"/>
  <c r="B54" i="250"/>
  <c r="D85" i="250"/>
  <c r="D86" i="250"/>
  <c r="D87" i="250"/>
  <c r="D84" i="250"/>
  <c r="B97" i="264"/>
  <c r="I110" i="275" l="1"/>
  <c r="J110" i="275"/>
  <c r="K110" i="275"/>
  <c r="L110" i="275"/>
  <c r="M110" i="275"/>
  <c r="N110" i="275"/>
  <c r="O110" i="275"/>
  <c r="P110" i="275"/>
  <c r="G5" i="220"/>
  <c r="H5" i="220"/>
  <c r="I5" i="220"/>
  <c r="J5" i="220"/>
  <c r="K5" i="220"/>
  <c r="L5" i="220"/>
  <c r="M5" i="220"/>
  <c r="N5" i="220"/>
  <c r="O5" i="220"/>
  <c r="B38" i="250" l="1"/>
  <c r="C3" i="218" l="1"/>
  <c r="C2" i="218"/>
  <c r="B3" i="272"/>
  <c r="B2" i="272"/>
  <c r="B3" i="250"/>
  <c r="B2" i="250"/>
  <c r="C3" i="279"/>
  <c r="C2" i="279"/>
  <c r="I239" i="275"/>
  <c r="I238" i="275"/>
  <c r="I237" i="275"/>
  <c r="I236" i="275"/>
  <c r="I235" i="275"/>
  <c r="I234" i="275"/>
  <c r="I233" i="275"/>
  <c r="O125" i="275"/>
  <c r="P125" i="275"/>
  <c r="H125" i="275"/>
  <c r="I125" i="275"/>
  <c r="J125" i="275"/>
  <c r="K125" i="275"/>
  <c r="L125" i="275"/>
  <c r="M125" i="275"/>
  <c r="N125" i="275"/>
  <c r="G125" i="275"/>
  <c r="H114" i="275"/>
  <c r="I114" i="275"/>
  <c r="J114" i="275"/>
  <c r="K114" i="275"/>
  <c r="L114" i="275"/>
  <c r="M114" i="275"/>
  <c r="N114" i="275"/>
  <c r="O114" i="275"/>
  <c r="P114" i="275"/>
  <c r="G114" i="275"/>
  <c r="H95" i="275"/>
  <c r="I95" i="275"/>
  <c r="J95" i="275"/>
  <c r="K95" i="275"/>
  <c r="L95" i="275"/>
  <c r="M95" i="275"/>
  <c r="N95" i="275"/>
  <c r="O95" i="275"/>
  <c r="P95" i="275"/>
  <c r="G95" i="275"/>
  <c r="H84" i="275"/>
  <c r="I84" i="275"/>
  <c r="J84" i="275"/>
  <c r="K84" i="275"/>
  <c r="L84" i="275"/>
  <c r="M84" i="275"/>
  <c r="N84" i="275"/>
  <c r="O84" i="275"/>
  <c r="P84" i="275"/>
  <c r="G84" i="275"/>
  <c r="C3" i="275"/>
  <c r="C2" i="275"/>
  <c r="B2" i="228"/>
  <c r="B3" i="260"/>
  <c r="B3" i="258"/>
  <c r="B3" i="251"/>
  <c r="H332" i="224"/>
  <c r="I332" i="224"/>
  <c r="J332" i="224"/>
  <c r="K332" i="224"/>
  <c r="L332" i="224"/>
  <c r="M332" i="224"/>
  <c r="N332" i="224"/>
  <c r="O332" i="224"/>
  <c r="P332" i="224"/>
  <c r="G332" i="224"/>
  <c r="I315" i="224"/>
  <c r="J315" i="224"/>
  <c r="K315" i="224"/>
  <c r="L315" i="224"/>
  <c r="M315" i="224"/>
  <c r="N315" i="224"/>
  <c r="O315" i="224"/>
  <c r="P315" i="224"/>
  <c r="H315" i="224"/>
  <c r="G315" i="224"/>
  <c r="I302" i="224"/>
  <c r="J302" i="224"/>
  <c r="K302" i="224"/>
  <c r="L302" i="224"/>
  <c r="M302" i="224"/>
  <c r="N302" i="224"/>
  <c r="O302" i="224"/>
  <c r="P302" i="224"/>
  <c r="H302" i="224"/>
  <c r="G302" i="224"/>
  <c r="I284" i="224"/>
  <c r="J284" i="224"/>
  <c r="K284" i="224"/>
  <c r="L284" i="224"/>
  <c r="M284" i="224"/>
  <c r="N284" i="224"/>
  <c r="O284" i="224"/>
  <c r="P284" i="224"/>
  <c r="H284" i="224"/>
  <c r="G284" i="224"/>
  <c r="H272" i="224"/>
  <c r="I272" i="224"/>
  <c r="J272" i="224"/>
  <c r="K272" i="224"/>
  <c r="L272" i="224"/>
  <c r="M272" i="224"/>
  <c r="N272" i="224"/>
  <c r="O272" i="224"/>
  <c r="P272" i="224"/>
  <c r="G272" i="224"/>
  <c r="H254" i="224"/>
  <c r="I254" i="224"/>
  <c r="J254" i="224"/>
  <c r="K254" i="224"/>
  <c r="L254" i="224"/>
  <c r="M254" i="224"/>
  <c r="N254" i="224"/>
  <c r="O254" i="224"/>
  <c r="P254" i="224"/>
  <c r="G254" i="224"/>
  <c r="H241" i="224"/>
  <c r="I241" i="224"/>
  <c r="J241" i="224"/>
  <c r="K241" i="224"/>
  <c r="L241" i="224"/>
  <c r="M241" i="224"/>
  <c r="N241" i="224"/>
  <c r="O241" i="224"/>
  <c r="P241" i="224"/>
  <c r="G241" i="224"/>
  <c r="B26" i="258"/>
  <c r="B25" i="258"/>
  <c r="AK4" i="204"/>
  <c r="P413" i="224"/>
  <c r="P416" i="224" s="1"/>
  <c r="O413" i="224"/>
  <c r="O416" i="224" s="1"/>
  <c r="N413" i="224"/>
  <c r="N416" i="224" s="1"/>
  <c r="M413" i="224"/>
  <c r="M416" i="224" s="1"/>
  <c r="L413" i="224"/>
  <c r="L416" i="224" s="1"/>
  <c r="K413" i="224"/>
  <c r="K416" i="224" s="1"/>
  <c r="J413" i="224"/>
  <c r="J416" i="224" s="1"/>
  <c r="I413" i="224"/>
  <c r="I416" i="224" s="1"/>
  <c r="H413" i="224"/>
  <c r="H416" i="224" s="1"/>
  <c r="G413" i="224"/>
  <c r="G416" i="224" s="1"/>
  <c r="I240" i="275" l="1"/>
  <c r="G34" i="275"/>
  <c r="O34" i="275"/>
  <c r="I34" i="275"/>
  <c r="H34" i="275"/>
  <c r="P34" i="275"/>
  <c r="J34" i="275"/>
  <c r="L34" i="275"/>
  <c r="N34" i="275"/>
  <c r="M34" i="275"/>
  <c r="K34" i="275"/>
  <c r="G417" i="224"/>
  <c r="G419" i="224" s="1"/>
  <c r="P417" i="224"/>
  <c r="P419" i="224" s="1"/>
  <c r="I417" i="224"/>
  <c r="I419" i="224" s="1"/>
  <c r="H417" i="224"/>
  <c r="H419" i="224" s="1"/>
  <c r="L417" i="224"/>
  <c r="L419" i="224" s="1"/>
  <c r="J417" i="224"/>
  <c r="J419" i="224" s="1"/>
  <c r="O417" i="224"/>
  <c r="O419" i="224" s="1"/>
  <c r="K417" i="224"/>
  <c r="K419" i="224" s="1"/>
  <c r="N417" i="224"/>
  <c r="N419" i="224" s="1"/>
  <c r="M417" i="224"/>
  <c r="M419" i="224" s="1"/>
  <c r="H34" i="224" l="1"/>
  <c r="I34" i="224"/>
  <c r="J34" i="224"/>
  <c r="K34" i="224"/>
  <c r="L34" i="224"/>
  <c r="M34" i="224"/>
  <c r="N34" i="224"/>
  <c r="O34" i="224"/>
  <c r="P34" i="224"/>
  <c r="G34" i="224"/>
  <c r="B39" i="250" l="1"/>
  <c r="B40" i="250"/>
  <c r="D39" i="250"/>
  <c r="D40" i="250"/>
  <c r="H275" i="278" l="1"/>
  <c r="G92" i="228"/>
  <c r="G306" i="219"/>
  <c r="F252" i="220"/>
  <c r="G253" i="279"/>
  <c r="H306" i="219"/>
  <c r="G252" i="220"/>
  <c r="F92" i="228"/>
  <c r="G275" i="278"/>
  <c r="G219" i="224"/>
  <c r="H253" i="279"/>
  <c r="G66" i="275"/>
  <c r="H219" i="224"/>
  <c r="H66" i="275"/>
  <c r="N93" i="279" l="1"/>
  <c r="O93" i="279"/>
  <c r="H93" i="279"/>
  <c r="I93" i="279"/>
  <c r="G93" i="279"/>
  <c r="J93" i="279"/>
  <c r="L93" i="279"/>
  <c r="M93" i="279"/>
  <c r="P93" i="279"/>
  <c r="K93" i="279"/>
  <c r="J111" i="224" l="1"/>
  <c r="K111" i="224"/>
  <c r="G111" i="224"/>
  <c r="N111" i="224"/>
  <c r="I111" i="224"/>
  <c r="L111" i="224"/>
  <c r="M111" i="224"/>
  <c r="O111" i="224"/>
  <c r="H111" i="224"/>
  <c r="P111" i="224"/>
  <c r="M100" i="279" l="1"/>
  <c r="N100" i="279"/>
  <c r="G100" i="279"/>
  <c r="H100" i="279"/>
  <c r="I100" i="279"/>
  <c r="L100" i="279"/>
  <c r="J100" i="279"/>
  <c r="K100" i="279"/>
  <c r="O100" i="279"/>
  <c r="P100" i="279"/>
  <c r="G15" i="250" l="1"/>
  <c r="D55" i="250" l="1"/>
  <c r="D58" i="250"/>
  <c r="D56" i="250"/>
  <c r="D60" i="250"/>
  <c r="D57" i="250"/>
  <c r="D61" i="250"/>
  <c r="D62" i="250"/>
  <c r="D63" i="250"/>
  <c r="N185" i="275" l="1"/>
  <c r="I192" i="220"/>
  <c r="O255" i="219"/>
  <c r="N224" i="278"/>
  <c r="K187" i="273"/>
  <c r="J385" i="224"/>
  <c r="H192" i="220"/>
  <c r="P255" i="219"/>
  <c r="M224" i="278"/>
  <c r="J187" i="273"/>
  <c r="G385" i="224"/>
  <c r="J224" i="278"/>
  <c r="J463" i="279"/>
  <c r="I224" i="278"/>
  <c r="O192" i="220"/>
  <c r="I255" i="219"/>
  <c r="H224" i="278"/>
  <c r="P385" i="224"/>
  <c r="N192" i="220"/>
  <c r="G224" i="278"/>
  <c r="O187" i="273"/>
  <c r="N385" i="224"/>
  <c r="L255" i="219"/>
  <c r="G463" i="279"/>
  <c r="K192" i="220"/>
  <c r="P224" i="278"/>
  <c r="L385" i="224"/>
  <c r="J192" i="220"/>
  <c r="M185" i="275"/>
  <c r="I385" i="224"/>
  <c r="H255" i="219"/>
  <c r="L463" i="279"/>
  <c r="P187" i="273"/>
  <c r="K255" i="219"/>
  <c r="M385" i="224"/>
  <c r="M187" i="273"/>
  <c r="O224" i="278"/>
  <c r="L185" i="275"/>
  <c r="G192" i="220"/>
  <c r="L224" i="278"/>
  <c r="I187" i="273"/>
  <c r="H463" i="279"/>
  <c r="H385" i="224"/>
  <c r="K185" i="275"/>
  <c r="F192" i="220"/>
  <c r="K224" i="278"/>
  <c r="H187" i="273"/>
  <c r="I463" i="279"/>
  <c r="J185" i="275"/>
  <c r="G255" i="219"/>
  <c r="I185" i="275"/>
  <c r="K463" i="279"/>
  <c r="H185" i="275"/>
  <c r="Q187" i="273"/>
  <c r="G185" i="275"/>
  <c r="J255" i="219"/>
  <c r="M463" i="279"/>
  <c r="O385" i="224"/>
  <c r="M192" i="220"/>
  <c r="N463" i="279"/>
  <c r="L192" i="220"/>
  <c r="N187" i="273"/>
  <c r="O463" i="279"/>
  <c r="P185" i="275"/>
  <c r="M255" i="219"/>
  <c r="P463" i="279"/>
  <c r="O185" i="275"/>
  <c r="N255" i="219"/>
  <c r="L187" i="273"/>
  <c r="K385" i="224"/>
  <c r="H184" i="272"/>
  <c r="I184" i="272"/>
  <c r="L184" i="272"/>
  <c r="G184" i="272"/>
  <c r="F184" i="272"/>
  <c r="K184" i="272"/>
  <c r="M184" i="272"/>
  <c r="J184" i="272"/>
  <c r="B81" i="250" l="1"/>
  <c r="B79" i="250" l="1"/>
  <c r="B78" i="250"/>
  <c r="B80" i="250"/>
  <c r="B77" i="250"/>
  <c r="B67" i="250"/>
  <c r="B72" i="250"/>
  <c r="B70" i="250"/>
  <c r="B68" i="250"/>
  <c r="B69" i="250"/>
  <c r="B71" i="250"/>
  <c r="B76" i="250"/>
  <c r="G24" i="250" l="1"/>
  <c r="B50" i="250" l="1"/>
  <c r="B47" i="250"/>
  <c r="B48" i="250"/>
  <c r="B49" i="250"/>
  <c r="B46" i="250"/>
  <c r="B45" i="250"/>
  <c r="B64" i="250" l="1"/>
  <c r="B65" i="250"/>
  <c r="B59" i="250"/>
  <c r="B66" i="250"/>
  <c r="B56" i="250"/>
  <c r="B60" i="250"/>
  <c r="B57" i="250"/>
  <c r="B61" i="250"/>
  <c r="B58" i="250"/>
  <c r="B62" i="250"/>
  <c r="B63" i="250"/>
  <c r="D10" i="250" a="1"/>
  <c r="D10" i="250" s="1"/>
  <c r="D27" i="250" a="1"/>
  <c r="D27" i="250" s="1"/>
  <c r="B27" i="250" a="1"/>
  <c r="B27" i="250" s="1"/>
  <c r="G35" i="250"/>
  <c r="B33" i="250"/>
  <c r="B18" i="250" a="1"/>
  <c r="B18" i="250" s="1"/>
  <c r="D18" i="250" a="1"/>
  <c r="D18" i="250" s="1"/>
  <c r="B55" i="250" l="1"/>
  <c r="B44" i="250"/>
  <c r="E27" i="250" a="1"/>
  <c r="E27" i="250" s="1"/>
  <c r="G27" i="250" s="1"/>
  <c r="I219" i="224"/>
  <c r="N275" i="278"/>
  <c r="P66" i="275"/>
  <c r="K253" i="279"/>
  <c r="H252" i="220"/>
  <c r="N306" i="219"/>
  <c r="J275" i="278"/>
  <c r="I92" i="228"/>
  <c r="P306" i="219"/>
  <c r="P253" i="279"/>
  <c r="J306" i="219"/>
  <c r="L253" i="279"/>
  <c r="N252" i="220"/>
  <c r="J252" i="220"/>
  <c r="N66" i="275"/>
  <c r="P275" i="278"/>
  <c r="M252" i="220"/>
  <c r="M219" i="224"/>
  <c r="H92" i="228"/>
  <c r="K252" i="220"/>
  <c r="I66" i="275"/>
  <c r="J253" i="279"/>
  <c r="K219" i="224"/>
  <c r="N219" i="224"/>
  <c r="K275" i="278"/>
  <c r="I253" i="279"/>
  <c r="I275" i="278"/>
  <c r="I306" i="219"/>
  <c r="K66" i="275"/>
  <c r="L252" i="220"/>
  <c r="N253" i="279"/>
  <c r="K306" i="219"/>
  <c r="L66" i="275"/>
  <c r="M66" i="275"/>
  <c r="O253" i="279"/>
  <c r="O252" i="220"/>
  <c r="O219" i="224"/>
  <c r="L275" i="278"/>
  <c r="M275" i="278"/>
  <c r="I252" i="220"/>
  <c r="L219" i="224"/>
  <c r="J66" i="275"/>
  <c r="M306" i="219"/>
  <c r="M253" i="279"/>
  <c r="O306" i="219"/>
  <c r="O66" i="275"/>
  <c r="L306" i="219"/>
  <c r="J219" i="224"/>
  <c r="P219" i="224"/>
  <c r="O275" i="278"/>
  <c r="B10" i="250" a="1"/>
  <c r="B10" i="250" s="1"/>
  <c r="G106" i="250"/>
  <c r="B34" i="250"/>
  <c r="D34" i="250"/>
  <c r="G28" i="250" l="1"/>
  <c r="G30" i="250"/>
  <c r="G29" i="250"/>
  <c r="G31" i="250" l="1"/>
  <c r="C111" i="279" l="1"/>
  <c r="C127" i="279"/>
  <c r="C155" i="279"/>
  <c r="C123" i="279"/>
  <c r="C131" i="279"/>
  <c r="C115" i="279"/>
  <c r="C119" i="279"/>
  <c r="C147" i="279"/>
  <c r="C135" i="279"/>
  <c r="C139" i="279"/>
  <c r="C151" i="279"/>
  <c r="C143" i="279"/>
  <c r="D4" i="271"/>
  <c r="B33" i="251"/>
  <c r="B11" i="258" s="1"/>
  <c r="P268" i="279"/>
  <c r="O268" i="279"/>
  <c r="N268" i="279"/>
  <c r="M268" i="279"/>
  <c r="L268" i="279"/>
  <c r="K268" i="279"/>
  <c r="J268" i="279"/>
  <c r="I268" i="279"/>
  <c r="H268" i="279"/>
  <c r="G268" i="279"/>
  <c r="P489" i="279"/>
  <c r="P491" i="279" s="1"/>
  <c r="O489" i="279"/>
  <c r="O491" i="279" s="1"/>
  <c r="N489" i="279"/>
  <c r="N491" i="279" s="1"/>
  <c r="M489" i="279"/>
  <c r="M491" i="279" s="1"/>
  <c r="L489" i="279"/>
  <c r="L491" i="279" s="1"/>
  <c r="K489" i="279"/>
  <c r="K491" i="279" s="1"/>
  <c r="J489" i="279"/>
  <c r="J491" i="279" s="1"/>
  <c r="I489" i="279"/>
  <c r="I491" i="279" s="1"/>
  <c r="H489" i="279"/>
  <c r="H491" i="279" s="1"/>
  <c r="G489" i="279"/>
  <c r="G491" i="279" s="1"/>
  <c r="P444" i="279"/>
  <c r="O444" i="279"/>
  <c r="N444" i="279"/>
  <c r="M444" i="279"/>
  <c r="L444" i="279"/>
  <c r="K444" i="279"/>
  <c r="J444" i="279"/>
  <c r="I444" i="279"/>
  <c r="H444" i="279"/>
  <c r="G444" i="279"/>
  <c r="D442" i="279"/>
  <c r="P408" i="279"/>
  <c r="O408" i="279"/>
  <c r="N408" i="279"/>
  <c r="M408" i="279"/>
  <c r="L408" i="279"/>
  <c r="K408" i="279"/>
  <c r="J408" i="279"/>
  <c r="I408" i="279"/>
  <c r="H408" i="279"/>
  <c r="G408" i="279"/>
  <c r="P403" i="279"/>
  <c r="O403" i="279"/>
  <c r="N403" i="279"/>
  <c r="M403" i="279"/>
  <c r="L403" i="279"/>
  <c r="K403" i="279"/>
  <c r="J403" i="279"/>
  <c r="I403" i="279"/>
  <c r="H403" i="279"/>
  <c r="G403" i="279"/>
  <c r="P401" i="279"/>
  <c r="O401" i="279"/>
  <c r="N401" i="279"/>
  <c r="M401" i="279"/>
  <c r="L401" i="279"/>
  <c r="K401" i="279"/>
  <c r="J401" i="279"/>
  <c r="I401" i="279"/>
  <c r="H401" i="279"/>
  <c r="G401" i="279"/>
  <c r="P397" i="279"/>
  <c r="O397" i="279"/>
  <c r="N397" i="279"/>
  <c r="M397" i="279"/>
  <c r="L397" i="279"/>
  <c r="K397" i="279"/>
  <c r="J397" i="279"/>
  <c r="I397" i="279"/>
  <c r="H397" i="279"/>
  <c r="G397" i="279"/>
  <c r="P395" i="279"/>
  <c r="O395" i="279"/>
  <c r="N395" i="279"/>
  <c r="M395" i="279"/>
  <c r="L395" i="279"/>
  <c r="K395" i="279"/>
  <c r="J395" i="279"/>
  <c r="I395" i="279"/>
  <c r="H395" i="279"/>
  <c r="G395" i="279"/>
  <c r="P391" i="279"/>
  <c r="O391" i="279"/>
  <c r="N391" i="279"/>
  <c r="M391" i="279"/>
  <c r="L391" i="279"/>
  <c r="K391" i="279"/>
  <c r="J391" i="279"/>
  <c r="I391" i="279"/>
  <c r="H391" i="279"/>
  <c r="G391" i="279"/>
  <c r="P389" i="279"/>
  <c r="O389" i="279"/>
  <c r="N389" i="279"/>
  <c r="M389" i="279"/>
  <c r="L389" i="279"/>
  <c r="K389" i="279"/>
  <c r="J389" i="279"/>
  <c r="I389" i="279"/>
  <c r="H389" i="279"/>
  <c r="G389" i="279"/>
  <c r="P373" i="279"/>
  <c r="P375" i="279" s="1"/>
  <c r="O373" i="279"/>
  <c r="O375" i="279" s="1"/>
  <c r="N373" i="279"/>
  <c r="N375" i="279" s="1"/>
  <c r="M373" i="279"/>
  <c r="M375" i="279" s="1"/>
  <c r="L373" i="279"/>
  <c r="L375" i="279" s="1"/>
  <c r="K373" i="279"/>
  <c r="K375" i="279" s="1"/>
  <c r="J373" i="279"/>
  <c r="J375" i="279" s="1"/>
  <c r="I373" i="279"/>
  <c r="I375" i="279" s="1"/>
  <c r="H373" i="279"/>
  <c r="H375" i="279" s="1"/>
  <c r="G373" i="279"/>
  <c r="G375" i="279" s="1"/>
  <c r="P336" i="279"/>
  <c r="P338" i="279" s="1"/>
  <c r="O336" i="279"/>
  <c r="O338" i="279" s="1"/>
  <c r="N336" i="279"/>
  <c r="N338" i="279" s="1"/>
  <c r="M336" i="279"/>
  <c r="M338" i="279" s="1"/>
  <c r="L336" i="279"/>
  <c r="L338" i="279" s="1"/>
  <c r="K336" i="279"/>
  <c r="K338" i="279" s="1"/>
  <c r="J336" i="279"/>
  <c r="J338" i="279" s="1"/>
  <c r="I336" i="279"/>
  <c r="I338" i="279" s="1"/>
  <c r="H336" i="279"/>
  <c r="H338" i="279" s="1"/>
  <c r="G336" i="279"/>
  <c r="G338" i="279" s="1"/>
  <c r="P315" i="279"/>
  <c r="P317" i="279" s="1"/>
  <c r="O315" i="279"/>
  <c r="O317" i="279" s="1"/>
  <c r="N315" i="279"/>
  <c r="N317" i="279" s="1"/>
  <c r="M315" i="279"/>
  <c r="M317" i="279" s="1"/>
  <c r="L315" i="279"/>
  <c r="L317" i="279" s="1"/>
  <c r="K315" i="279"/>
  <c r="K317" i="279" s="1"/>
  <c r="J315" i="279"/>
  <c r="J317" i="279" s="1"/>
  <c r="I315" i="279"/>
  <c r="I317" i="279" s="1"/>
  <c r="H315" i="279"/>
  <c r="H317" i="279" s="1"/>
  <c r="P296" i="279"/>
  <c r="P298" i="279" s="1"/>
  <c r="O296" i="279"/>
  <c r="O298" i="279" s="1"/>
  <c r="N296" i="279"/>
  <c r="N298" i="279" s="1"/>
  <c r="M296" i="279"/>
  <c r="M298" i="279" s="1"/>
  <c r="L296" i="279"/>
  <c r="L298" i="279" s="1"/>
  <c r="K296" i="279"/>
  <c r="K298" i="279" s="1"/>
  <c r="J296" i="279"/>
  <c r="J298" i="279" s="1"/>
  <c r="I296" i="279"/>
  <c r="I298" i="279" s="1"/>
  <c r="H296" i="279"/>
  <c r="H298" i="279" s="1"/>
  <c r="G296" i="279"/>
  <c r="G298" i="279" s="1"/>
  <c r="H133" i="278"/>
  <c r="I133" i="278"/>
  <c r="J133" i="278"/>
  <c r="K133" i="278"/>
  <c r="L133" i="278"/>
  <c r="M133" i="278"/>
  <c r="N133" i="278"/>
  <c r="O133" i="278"/>
  <c r="P133" i="278"/>
  <c r="G133" i="278"/>
  <c r="H253" i="278"/>
  <c r="I253" i="278"/>
  <c r="J253" i="278"/>
  <c r="K253" i="278"/>
  <c r="L253" i="278"/>
  <c r="M253" i="278"/>
  <c r="N253" i="278"/>
  <c r="O253" i="278"/>
  <c r="P253" i="278"/>
  <c r="G253" i="278"/>
  <c r="P161" i="278"/>
  <c r="O161" i="278"/>
  <c r="N161" i="278"/>
  <c r="M161" i="278"/>
  <c r="L161" i="278"/>
  <c r="K161" i="278"/>
  <c r="J161" i="278"/>
  <c r="I161" i="278"/>
  <c r="H161" i="278"/>
  <c r="G161" i="278"/>
  <c r="P155" i="278"/>
  <c r="O155" i="278"/>
  <c r="N155" i="278"/>
  <c r="M155" i="278"/>
  <c r="L155" i="278"/>
  <c r="K155" i="278"/>
  <c r="J155" i="278"/>
  <c r="I155" i="278"/>
  <c r="H155" i="278"/>
  <c r="G155" i="278"/>
  <c r="H149" i="278"/>
  <c r="I149" i="278"/>
  <c r="J149" i="278"/>
  <c r="K149" i="278"/>
  <c r="L149" i="278"/>
  <c r="M149" i="278"/>
  <c r="N149" i="278"/>
  <c r="O149" i="278"/>
  <c r="P149" i="278"/>
  <c r="G149" i="278"/>
  <c r="H4" i="271"/>
  <c r="H410" i="279" l="1"/>
  <c r="P410" i="279"/>
  <c r="D74" i="279"/>
  <c r="D70" i="279"/>
  <c r="O493" i="279"/>
  <c r="I493" i="279"/>
  <c r="G493" i="279"/>
  <c r="J493" i="279"/>
  <c r="M493" i="279"/>
  <c r="I410" i="279"/>
  <c r="H493" i="279"/>
  <c r="P493" i="279"/>
  <c r="K410" i="279"/>
  <c r="L493" i="279"/>
  <c r="K493" i="279"/>
  <c r="N493" i="279"/>
  <c r="J410" i="279"/>
  <c r="L410" i="279"/>
  <c r="M410" i="279"/>
  <c r="N410" i="279"/>
  <c r="G410" i="279"/>
  <c r="O410" i="279"/>
  <c r="D66" i="279" l="1"/>
  <c r="P290" i="278" l="1"/>
  <c r="O290" i="278"/>
  <c r="N290" i="278"/>
  <c r="M290" i="278"/>
  <c r="L290" i="278"/>
  <c r="K290" i="278"/>
  <c r="J290" i="278"/>
  <c r="I290" i="278"/>
  <c r="H290" i="278"/>
  <c r="G290" i="278"/>
  <c r="P250" i="278"/>
  <c r="P252" i="278" s="1"/>
  <c r="O250" i="278"/>
  <c r="O252" i="278" s="1"/>
  <c r="N250" i="278"/>
  <c r="N252" i="278" s="1"/>
  <c r="M250" i="278"/>
  <c r="M252" i="278" s="1"/>
  <c r="L250" i="278"/>
  <c r="L252" i="278" s="1"/>
  <c r="K250" i="278"/>
  <c r="K252" i="278" s="1"/>
  <c r="J250" i="278"/>
  <c r="J252" i="278" s="1"/>
  <c r="I250" i="278"/>
  <c r="I252" i="278" s="1"/>
  <c r="H250" i="278"/>
  <c r="H252" i="278" s="1"/>
  <c r="G250" i="278"/>
  <c r="G252" i="278" s="1"/>
  <c r="P204" i="278"/>
  <c r="O204" i="278"/>
  <c r="N204" i="278"/>
  <c r="M204" i="278"/>
  <c r="L204" i="278"/>
  <c r="K204" i="278"/>
  <c r="J204" i="278"/>
  <c r="I204" i="278"/>
  <c r="H204" i="278"/>
  <c r="G204" i="278"/>
  <c r="D202" i="278"/>
  <c r="G170" i="278"/>
  <c r="G180" i="278" s="1"/>
  <c r="P163" i="278"/>
  <c r="O163" i="278"/>
  <c r="N163" i="278"/>
  <c r="M163" i="278"/>
  <c r="L163" i="278"/>
  <c r="K163" i="278"/>
  <c r="J163" i="278"/>
  <c r="I163" i="278"/>
  <c r="H163" i="278"/>
  <c r="G163" i="278"/>
  <c r="P157" i="278"/>
  <c r="O157" i="278"/>
  <c r="N157" i="278"/>
  <c r="M157" i="278"/>
  <c r="L157" i="278"/>
  <c r="K157" i="278"/>
  <c r="J157" i="278"/>
  <c r="I157" i="278"/>
  <c r="H157" i="278"/>
  <c r="G157" i="278"/>
  <c r="P151" i="278"/>
  <c r="O151" i="278"/>
  <c r="N151" i="278"/>
  <c r="M151" i="278"/>
  <c r="L151" i="278"/>
  <c r="K151" i="278"/>
  <c r="J151" i="278"/>
  <c r="I151" i="278"/>
  <c r="H151" i="278"/>
  <c r="G151" i="278"/>
  <c r="P135" i="278"/>
  <c r="O135" i="278"/>
  <c r="N135" i="278"/>
  <c r="M135" i="278"/>
  <c r="L135" i="278"/>
  <c r="K135" i="278"/>
  <c r="J135" i="278"/>
  <c r="I135" i="278"/>
  <c r="H135" i="278"/>
  <c r="G135" i="278"/>
  <c r="P96" i="278"/>
  <c r="P98" i="278" s="1"/>
  <c r="O96" i="278"/>
  <c r="O98" i="278" s="1"/>
  <c r="N96" i="278"/>
  <c r="N98" i="278" s="1"/>
  <c r="M96" i="278"/>
  <c r="M98" i="278" s="1"/>
  <c r="L96" i="278"/>
  <c r="L98" i="278" s="1"/>
  <c r="K96" i="278"/>
  <c r="K98" i="278" s="1"/>
  <c r="J96" i="278"/>
  <c r="J98" i="278" s="1"/>
  <c r="I96" i="278"/>
  <c r="I98" i="278" s="1"/>
  <c r="H96" i="278"/>
  <c r="H98" i="278" s="1"/>
  <c r="G96" i="278"/>
  <c r="G98" i="278" s="1"/>
  <c r="P75" i="278"/>
  <c r="P77" i="278" s="1"/>
  <c r="O75" i="278"/>
  <c r="O77" i="278" s="1"/>
  <c r="N75" i="278"/>
  <c r="N77" i="278" s="1"/>
  <c r="M75" i="278"/>
  <c r="M77" i="278" s="1"/>
  <c r="L75" i="278"/>
  <c r="L77" i="278" s="1"/>
  <c r="K75" i="278"/>
  <c r="K77" i="278" s="1"/>
  <c r="J75" i="278"/>
  <c r="J77" i="278" s="1"/>
  <c r="I75" i="278"/>
  <c r="I77" i="278" s="1"/>
  <c r="H75" i="278"/>
  <c r="H77" i="278" s="1"/>
  <c r="G75" i="278"/>
  <c r="G77" i="278" s="1"/>
  <c r="P56" i="278"/>
  <c r="P58" i="278" s="1"/>
  <c r="O56" i="278"/>
  <c r="O58" i="278" s="1"/>
  <c r="N56" i="278"/>
  <c r="N58" i="278" s="1"/>
  <c r="M56" i="278"/>
  <c r="M58" i="278" s="1"/>
  <c r="L56" i="278"/>
  <c r="L58" i="278" s="1"/>
  <c r="K56" i="278"/>
  <c r="K58" i="278" s="1"/>
  <c r="J56" i="278"/>
  <c r="J58" i="278" s="1"/>
  <c r="I56" i="278"/>
  <c r="I58" i="278" s="1"/>
  <c r="H56" i="278"/>
  <c r="H58" i="278" s="1"/>
  <c r="G56" i="278"/>
  <c r="G58" i="278" s="1"/>
  <c r="C3" i="278"/>
  <c r="H284" i="219"/>
  <c r="I284" i="219"/>
  <c r="J284" i="219"/>
  <c r="K284" i="219"/>
  <c r="L284" i="219"/>
  <c r="M284" i="219"/>
  <c r="N284" i="219"/>
  <c r="O284" i="219"/>
  <c r="P284" i="219"/>
  <c r="G284" i="219"/>
  <c r="H181" i="219"/>
  <c r="I181" i="219"/>
  <c r="J181" i="219"/>
  <c r="K181" i="219"/>
  <c r="L181" i="219"/>
  <c r="M181" i="219"/>
  <c r="N181" i="219"/>
  <c r="O181" i="219"/>
  <c r="P181" i="219"/>
  <c r="H175" i="219"/>
  <c r="I175" i="219"/>
  <c r="J175" i="219"/>
  <c r="K175" i="219"/>
  <c r="L175" i="219"/>
  <c r="M175" i="219"/>
  <c r="N175" i="219"/>
  <c r="O175" i="219"/>
  <c r="P175" i="219"/>
  <c r="P169" i="219"/>
  <c r="O169" i="219"/>
  <c r="N169" i="219"/>
  <c r="M169" i="219"/>
  <c r="L169" i="219"/>
  <c r="K169" i="219"/>
  <c r="J169" i="219"/>
  <c r="I169" i="219"/>
  <c r="H169" i="219"/>
  <c r="H153" i="219"/>
  <c r="I153" i="219"/>
  <c r="J153" i="219"/>
  <c r="K153" i="219"/>
  <c r="L153" i="219"/>
  <c r="M153" i="219"/>
  <c r="N153" i="219"/>
  <c r="O153" i="219"/>
  <c r="P153" i="219"/>
  <c r="G153" i="219"/>
  <c r="H151" i="220"/>
  <c r="H153" i="220" s="1"/>
  <c r="I151" i="220"/>
  <c r="I153" i="220" s="1"/>
  <c r="J151" i="220"/>
  <c r="J153" i="220" s="1"/>
  <c r="K151" i="220"/>
  <c r="K153" i="220" s="1"/>
  <c r="L151" i="220"/>
  <c r="L153" i="220" s="1"/>
  <c r="M151" i="220"/>
  <c r="M153" i="220" s="1"/>
  <c r="N151" i="220"/>
  <c r="N153" i="220" s="1"/>
  <c r="O151" i="220"/>
  <c r="O153" i="220" s="1"/>
  <c r="H154" i="220"/>
  <c r="H156" i="220" s="1"/>
  <c r="I154" i="220"/>
  <c r="I156" i="220" s="1"/>
  <c r="J154" i="220"/>
  <c r="J156" i="220" s="1"/>
  <c r="K154" i="220"/>
  <c r="K156" i="220" s="1"/>
  <c r="L154" i="220"/>
  <c r="L156" i="220" s="1"/>
  <c r="M154" i="220"/>
  <c r="M156" i="220" s="1"/>
  <c r="N154" i="220"/>
  <c r="N156" i="220" s="1"/>
  <c r="O154" i="220"/>
  <c r="O156" i="220" s="1"/>
  <c r="H179" i="220"/>
  <c r="H181" i="220" s="1"/>
  <c r="I179" i="220"/>
  <c r="I181" i="220" s="1"/>
  <c r="J179" i="220"/>
  <c r="J181" i="220" s="1"/>
  <c r="K179" i="220"/>
  <c r="K181" i="220" s="1"/>
  <c r="L179" i="220"/>
  <c r="L181" i="220" s="1"/>
  <c r="M179" i="220"/>
  <c r="M181" i="220" s="1"/>
  <c r="N179" i="220"/>
  <c r="N181" i="220" s="1"/>
  <c r="O179" i="220"/>
  <c r="O181" i="220" s="1"/>
  <c r="H182" i="220"/>
  <c r="H184" i="220" s="1"/>
  <c r="I182" i="220"/>
  <c r="I184" i="220" s="1"/>
  <c r="J182" i="220"/>
  <c r="J184" i="220" s="1"/>
  <c r="K182" i="220"/>
  <c r="K184" i="220" s="1"/>
  <c r="L182" i="220"/>
  <c r="L184" i="220" s="1"/>
  <c r="M182" i="220"/>
  <c r="M184" i="220" s="1"/>
  <c r="N182" i="220"/>
  <c r="N184" i="220" s="1"/>
  <c r="O182" i="220"/>
  <c r="O184" i="220" s="1"/>
  <c r="H262" i="220"/>
  <c r="I262" i="220"/>
  <c r="J262" i="220"/>
  <c r="K262" i="220"/>
  <c r="L262" i="220"/>
  <c r="M262" i="220"/>
  <c r="N262" i="220"/>
  <c r="O262" i="220"/>
  <c r="O128" i="220"/>
  <c r="O130" i="220" s="1"/>
  <c r="O131" i="220"/>
  <c r="O133" i="220" s="1"/>
  <c r="H128" i="220"/>
  <c r="I128" i="220"/>
  <c r="J128" i="220"/>
  <c r="J130" i="220" s="1"/>
  <c r="K128" i="220"/>
  <c r="K130" i="220" s="1"/>
  <c r="L128" i="220"/>
  <c r="L130" i="220" s="1"/>
  <c r="M128" i="220"/>
  <c r="M130" i="220" s="1"/>
  <c r="N128" i="220"/>
  <c r="N130" i="220" s="1"/>
  <c r="H131" i="220"/>
  <c r="H133" i="220" s="1"/>
  <c r="I131" i="220"/>
  <c r="I133" i="220" s="1"/>
  <c r="J131" i="220"/>
  <c r="J133" i="220" s="1"/>
  <c r="K131" i="220"/>
  <c r="K133" i="220" s="1"/>
  <c r="L131" i="220"/>
  <c r="L133" i="220" s="1"/>
  <c r="M131" i="220"/>
  <c r="M133" i="220" s="1"/>
  <c r="N131" i="220"/>
  <c r="N133" i="220" s="1"/>
  <c r="H95" i="220"/>
  <c r="H96" i="220" s="1"/>
  <c r="H157" i="220" s="1"/>
  <c r="H159" i="220" s="1"/>
  <c r="I95" i="220"/>
  <c r="I97" i="220" s="1"/>
  <c r="J95" i="220"/>
  <c r="J97" i="220" s="1"/>
  <c r="K95" i="220"/>
  <c r="K96" i="220" s="1"/>
  <c r="K185" i="220" s="1"/>
  <c r="K187" i="220" s="1"/>
  <c r="L95" i="220"/>
  <c r="L96" i="220" s="1"/>
  <c r="L134" i="220" s="1"/>
  <c r="L136" i="220" s="1"/>
  <c r="M95" i="220"/>
  <c r="M96" i="220" s="1"/>
  <c r="M185" i="220" s="1"/>
  <c r="M187" i="220" s="1"/>
  <c r="N95" i="220"/>
  <c r="N96" i="220" s="1"/>
  <c r="N185" i="220" s="1"/>
  <c r="N187" i="220" s="1"/>
  <c r="O95" i="220"/>
  <c r="O97" i="220" s="1"/>
  <c r="H69" i="220"/>
  <c r="H72" i="220" s="1"/>
  <c r="H73" i="220" s="1"/>
  <c r="I69" i="220"/>
  <c r="J69" i="220"/>
  <c r="K69" i="220"/>
  <c r="L69" i="220"/>
  <c r="M69" i="220"/>
  <c r="N69" i="220"/>
  <c r="N72" i="220" s="1"/>
  <c r="N73" i="220" s="1"/>
  <c r="O69" i="220"/>
  <c r="G76" i="219"/>
  <c r="G78" i="219" s="1"/>
  <c r="H76" i="219"/>
  <c r="H78" i="219" s="1"/>
  <c r="I76" i="219"/>
  <c r="I78" i="219" s="1"/>
  <c r="J76" i="219"/>
  <c r="J78" i="219" s="1"/>
  <c r="G95" i="219"/>
  <c r="G97" i="219" s="1"/>
  <c r="H95" i="219"/>
  <c r="H97" i="219" s="1"/>
  <c r="I95" i="219"/>
  <c r="I97" i="219" s="1"/>
  <c r="J95" i="219"/>
  <c r="J97" i="219" s="1"/>
  <c r="G116" i="219"/>
  <c r="G118" i="219" s="1"/>
  <c r="H116" i="219"/>
  <c r="H118" i="219" s="1"/>
  <c r="I116" i="219"/>
  <c r="I118" i="219" s="1"/>
  <c r="J116" i="219"/>
  <c r="J118" i="219" s="1"/>
  <c r="G199" i="219"/>
  <c r="H199" i="219"/>
  <c r="I199" i="219"/>
  <c r="J199" i="219"/>
  <c r="H235" i="219"/>
  <c r="I235" i="219"/>
  <c r="J235" i="219"/>
  <c r="G281" i="219"/>
  <c r="G283" i="219" s="1"/>
  <c r="H281" i="219"/>
  <c r="H283" i="219" s="1"/>
  <c r="I281" i="219"/>
  <c r="I283" i="219" s="1"/>
  <c r="J281" i="219"/>
  <c r="J283" i="219" s="1"/>
  <c r="G316" i="219"/>
  <c r="H316" i="219"/>
  <c r="I316" i="219"/>
  <c r="J316" i="219"/>
  <c r="D169" i="275"/>
  <c r="D172" i="275"/>
  <c r="D352" i="224"/>
  <c r="D355" i="224"/>
  <c r="D358" i="224"/>
  <c r="D359" i="224"/>
  <c r="D362" i="224"/>
  <c r="D365" i="224"/>
  <c r="D369" i="224"/>
  <c r="D349" i="224"/>
  <c r="D165" i="273"/>
  <c r="C162" i="220"/>
  <c r="C33" i="228"/>
  <c r="D335" i="224"/>
  <c r="D338" i="224"/>
  <c r="D341" i="224"/>
  <c r="D342" i="224"/>
  <c r="D332" i="224"/>
  <c r="C139" i="220"/>
  <c r="C23" i="228"/>
  <c r="B104" i="264"/>
  <c r="B98" i="264"/>
  <c r="B103" i="264"/>
  <c r="B102" i="264"/>
  <c r="B101" i="264"/>
  <c r="B99" i="264"/>
  <c r="B96" i="264"/>
  <c r="K221" i="278" l="1"/>
  <c r="N221" i="278"/>
  <c r="G221" i="278"/>
  <c r="G182" i="278"/>
  <c r="O221" i="278"/>
  <c r="G235" i="219"/>
  <c r="M72" i="220"/>
  <c r="M73" i="220" s="1"/>
  <c r="L72" i="220"/>
  <c r="L73" i="220" s="1"/>
  <c r="K72" i="220"/>
  <c r="K73" i="220" s="1"/>
  <c r="J72" i="220"/>
  <c r="J73" i="220" s="1"/>
  <c r="O72" i="220"/>
  <c r="O73" i="220" s="1"/>
  <c r="I72" i="220"/>
  <c r="I73" i="220" s="1"/>
  <c r="H285" i="219"/>
  <c r="J201" i="219"/>
  <c r="I96" i="220"/>
  <c r="I157" i="220" s="1"/>
  <c r="I159" i="220" s="1"/>
  <c r="M97" i="220"/>
  <c r="L97" i="220"/>
  <c r="H130" i="220"/>
  <c r="N97" i="220"/>
  <c r="J96" i="220"/>
  <c r="J185" i="220" s="1"/>
  <c r="J187" i="220" s="1"/>
  <c r="K97" i="220"/>
  <c r="H97" i="220"/>
  <c r="M16" i="220"/>
  <c r="M176" i="220" s="1"/>
  <c r="M178" i="220" s="1"/>
  <c r="M189" i="220" s="1"/>
  <c r="N254" i="278"/>
  <c r="I254" i="278"/>
  <c r="K170" i="278"/>
  <c r="N170" i="278"/>
  <c r="H254" i="278"/>
  <c r="P254" i="278"/>
  <c r="O170" i="278"/>
  <c r="J221" i="278"/>
  <c r="J170" i="278"/>
  <c r="M221" i="278"/>
  <c r="M170" i="278"/>
  <c r="L254" i="278"/>
  <c r="M254" i="278"/>
  <c r="G254" i="278"/>
  <c r="O254" i="278"/>
  <c r="H170" i="278"/>
  <c r="H221" i="278"/>
  <c r="P170" i="278"/>
  <c r="P221" i="278"/>
  <c r="I221" i="278"/>
  <c r="I170" i="278"/>
  <c r="J254" i="278"/>
  <c r="K254" i="278"/>
  <c r="L170" i="278"/>
  <c r="L221" i="278"/>
  <c r="K14" i="220"/>
  <c r="K15" i="220" s="1"/>
  <c r="I16" i="220"/>
  <c r="I148" i="220" s="1"/>
  <c r="I150" i="220" s="1"/>
  <c r="J14" i="220"/>
  <c r="J15" i="220" s="1"/>
  <c r="I285" i="219"/>
  <c r="J285" i="219"/>
  <c r="G285" i="219"/>
  <c r="N134" i="220"/>
  <c r="N136" i="220" s="1"/>
  <c r="M157" i="220"/>
  <c r="M159" i="220" s="1"/>
  <c r="N16" i="220"/>
  <c r="I14" i="220"/>
  <c r="I15" i="220" s="1"/>
  <c r="M134" i="220"/>
  <c r="M136" i="220" s="1"/>
  <c r="H185" i="220"/>
  <c r="H187" i="220" s="1"/>
  <c r="N157" i="220"/>
  <c r="N159" i="220" s="1"/>
  <c r="L16" i="220"/>
  <c r="K134" i="220"/>
  <c r="K136" i="220" s="1"/>
  <c r="L157" i="220"/>
  <c r="L159" i="220" s="1"/>
  <c r="K16" i="220"/>
  <c r="N14" i="220"/>
  <c r="N15" i="220" s="1"/>
  <c r="K157" i="220"/>
  <c r="K159" i="220" s="1"/>
  <c r="J16" i="220"/>
  <c r="M14" i="220"/>
  <c r="M15" i="220" s="1"/>
  <c r="L185" i="220"/>
  <c r="L187" i="220" s="1"/>
  <c r="L14" i="220"/>
  <c r="L15" i="220" s="1"/>
  <c r="H134" i="220"/>
  <c r="H136" i="220" s="1"/>
  <c r="I130" i="220"/>
  <c r="O96" i="220"/>
  <c r="J213" i="219"/>
  <c r="I213" i="219"/>
  <c r="G155" i="219"/>
  <c r="H213" i="219"/>
  <c r="G213" i="219"/>
  <c r="H201" i="219"/>
  <c r="I155" i="219"/>
  <c r="I171" i="219"/>
  <c r="I183" i="219"/>
  <c r="I177" i="219"/>
  <c r="H155" i="219"/>
  <c r="H171" i="219"/>
  <c r="H183" i="219"/>
  <c r="H177" i="219"/>
  <c r="J177" i="219"/>
  <c r="J155" i="219"/>
  <c r="J171" i="219"/>
  <c r="J183" i="219"/>
  <c r="I201" i="219"/>
  <c r="G201" i="219"/>
  <c r="O16" i="220"/>
  <c r="G16" i="220"/>
  <c r="G148" i="220" s="1"/>
  <c r="G14" i="220"/>
  <c r="F16" i="220"/>
  <c r="H16" i="220"/>
  <c r="H14" i="220"/>
  <c r="O14" i="220"/>
  <c r="F14" i="220"/>
  <c r="K180" i="278" l="1"/>
  <c r="K182" i="278" s="1"/>
  <c r="M180" i="278"/>
  <c r="M182" i="278" s="1"/>
  <c r="N180" i="278"/>
  <c r="N182" i="278" s="1"/>
  <c r="J180" i="278"/>
  <c r="J182" i="278" s="1"/>
  <c r="P180" i="278"/>
  <c r="P182" i="278" s="1"/>
  <c r="H180" i="278"/>
  <c r="H182" i="278" s="1"/>
  <c r="O180" i="278"/>
  <c r="O182" i="278" s="1"/>
  <c r="L180" i="278"/>
  <c r="L182" i="278" s="1"/>
  <c r="I180" i="278"/>
  <c r="I182" i="278" s="1"/>
  <c r="M195" i="220"/>
  <c r="N227" i="278"/>
  <c r="J227" i="278"/>
  <c r="K227" i="278"/>
  <c r="I227" i="278"/>
  <c r="O227" i="278"/>
  <c r="P227" i="278"/>
  <c r="M227" i="278"/>
  <c r="G227" i="278"/>
  <c r="L227" i="278"/>
  <c r="H227" i="278"/>
  <c r="I161" i="220"/>
  <c r="I134" i="220"/>
  <c r="I136" i="220" s="1"/>
  <c r="I185" i="220"/>
  <c r="I187" i="220" s="1"/>
  <c r="J134" i="220"/>
  <c r="J136" i="220" s="1"/>
  <c r="J157" i="220"/>
  <c r="J159" i="220" s="1"/>
  <c r="M125" i="220"/>
  <c r="M127" i="220" s="1"/>
  <c r="M148" i="220"/>
  <c r="M150" i="220" s="1"/>
  <c r="M161" i="220" s="1"/>
  <c r="I125" i="220"/>
  <c r="I127" i="220" s="1"/>
  <c r="I176" i="220"/>
  <c r="I178" i="220" s="1"/>
  <c r="K125" i="220"/>
  <c r="K127" i="220" s="1"/>
  <c r="K176" i="220"/>
  <c r="K178" i="220" s="1"/>
  <c r="K189" i="220" s="1"/>
  <c r="K148" i="220"/>
  <c r="K150" i="220" s="1"/>
  <c r="K161" i="220" s="1"/>
  <c r="O176" i="220"/>
  <c r="O178" i="220" s="1"/>
  <c r="O148" i="220"/>
  <c r="O150" i="220" s="1"/>
  <c r="O125" i="220"/>
  <c r="O127" i="220" s="1"/>
  <c r="J125" i="220"/>
  <c r="J127" i="220" s="1"/>
  <c r="J176" i="220"/>
  <c r="J178" i="220" s="1"/>
  <c r="J189" i="220" s="1"/>
  <c r="J148" i="220"/>
  <c r="J150" i="220" s="1"/>
  <c r="N176" i="220"/>
  <c r="N178" i="220" s="1"/>
  <c r="N189" i="220" s="1"/>
  <c r="N148" i="220"/>
  <c r="N150" i="220" s="1"/>
  <c r="N161" i="220" s="1"/>
  <c r="N125" i="220"/>
  <c r="N127" i="220" s="1"/>
  <c r="O185" i="220"/>
  <c r="O187" i="220" s="1"/>
  <c r="O134" i="220"/>
  <c r="O136" i="220" s="1"/>
  <c r="O157" i="220"/>
  <c r="O159" i="220" s="1"/>
  <c r="L148" i="220"/>
  <c r="L150" i="220" s="1"/>
  <c r="L161" i="220" s="1"/>
  <c r="L125" i="220"/>
  <c r="L127" i="220" s="1"/>
  <c r="L176" i="220"/>
  <c r="L178" i="220" s="1"/>
  <c r="L189" i="220" s="1"/>
  <c r="H125" i="220"/>
  <c r="H127" i="220" s="1"/>
  <c r="H176" i="220"/>
  <c r="H178" i="220" s="1"/>
  <c r="H189" i="220" s="1"/>
  <c r="H148" i="220"/>
  <c r="H150" i="220" s="1"/>
  <c r="H161" i="220" s="1"/>
  <c r="G176" i="220"/>
  <c r="G125" i="220"/>
  <c r="F148" i="220"/>
  <c r="F176" i="220"/>
  <c r="F125" i="220"/>
  <c r="H195" i="220" l="1"/>
  <c r="K195" i="220"/>
  <c r="N195" i="220"/>
  <c r="J195" i="220"/>
  <c r="L195" i="220"/>
  <c r="J138" i="220"/>
  <c r="J142" i="220" s="1"/>
  <c r="O138" i="220"/>
  <c r="O142" i="220" s="1"/>
  <c r="I138" i="220"/>
  <c r="I142" i="220" s="1"/>
  <c r="N138" i="220"/>
  <c r="N142" i="220" s="1"/>
  <c r="H138" i="220"/>
  <c r="H142" i="220" s="1"/>
  <c r="M138" i="220"/>
  <c r="M142" i="220" s="1"/>
  <c r="L138" i="220"/>
  <c r="L142" i="220" s="1"/>
  <c r="K138" i="220"/>
  <c r="K142" i="220" s="1"/>
  <c r="J161" i="220"/>
  <c r="I189" i="220"/>
  <c r="O189" i="220"/>
  <c r="O161" i="220"/>
  <c r="I195" i="220" l="1"/>
  <c r="O195" i="220"/>
  <c r="M86" i="272" l="1"/>
  <c r="H86" i="272"/>
  <c r="G86" i="272"/>
  <c r="F86" i="272"/>
  <c r="M68" i="272"/>
  <c r="H68" i="272"/>
  <c r="G68" i="272"/>
  <c r="F68" i="272"/>
  <c r="M67" i="272"/>
  <c r="M87" i="272" s="1"/>
  <c r="H67" i="272"/>
  <c r="H87" i="272" s="1"/>
  <c r="G67" i="272"/>
  <c r="F67" i="272"/>
  <c r="F87" i="272" s="1"/>
  <c r="M36" i="272"/>
  <c r="H36" i="272"/>
  <c r="G36" i="272"/>
  <c r="F36" i="272"/>
  <c r="M18" i="272"/>
  <c r="H18" i="272"/>
  <c r="G18" i="272"/>
  <c r="F18" i="272"/>
  <c r="M17" i="272"/>
  <c r="H17" i="272"/>
  <c r="G17" i="272"/>
  <c r="G37" i="272" s="1"/>
  <c r="F17" i="272"/>
  <c r="F37" i="272" s="1"/>
  <c r="G87" i="272" l="1"/>
  <c r="M69" i="272"/>
  <c r="G19" i="272"/>
  <c r="F69" i="272"/>
  <c r="F19" i="272"/>
  <c r="H69" i="272"/>
  <c r="G69" i="272"/>
  <c r="F72" i="272" l="1"/>
  <c r="F73" i="272" s="1"/>
  <c r="G72" i="272"/>
  <c r="G73" i="272" s="1"/>
  <c r="H70" i="272"/>
  <c r="H72" i="272"/>
  <c r="H73" i="272" s="1"/>
  <c r="M70" i="272"/>
  <c r="M72" i="272"/>
  <c r="M73" i="272" s="1"/>
  <c r="G22" i="272"/>
  <c r="G23" i="272" s="1"/>
  <c r="F22" i="272"/>
  <c r="F23" i="272" s="1"/>
  <c r="G20" i="272"/>
  <c r="F20" i="272"/>
  <c r="F70" i="272"/>
  <c r="G70" i="272"/>
  <c r="H19" i="272"/>
  <c r="M19" i="272"/>
  <c r="F35" i="224"/>
  <c r="G342" i="224"/>
  <c r="H342" i="224"/>
  <c r="I342" i="224"/>
  <c r="G304" i="224"/>
  <c r="H304" i="224"/>
  <c r="I304" i="224"/>
  <c r="I335" i="224"/>
  <c r="I337" i="224" s="1"/>
  <c r="G274" i="224"/>
  <c r="H274" i="224"/>
  <c r="I274" i="224"/>
  <c r="H243" i="224"/>
  <c r="I256" i="224"/>
  <c r="I261" i="224"/>
  <c r="I263" i="224" s="1"/>
  <c r="G244" i="224"/>
  <c r="H244" i="224"/>
  <c r="I244" i="224"/>
  <c r="F36" i="224"/>
  <c r="F28" i="224"/>
  <c r="F27" i="224"/>
  <c r="H26" i="224"/>
  <c r="I26" i="224"/>
  <c r="J26" i="224"/>
  <c r="K26" i="224"/>
  <c r="L26" i="224"/>
  <c r="M26" i="224"/>
  <c r="N26" i="224"/>
  <c r="O26" i="224"/>
  <c r="P26" i="224"/>
  <c r="G26" i="224"/>
  <c r="M22" i="272" l="1"/>
  <c r="M23" i="272" s="1"/>
  <c r="H22" i="272"/>
  <c r="H23" i="272" s="1"/>
  <c r="H20" i="272"/>
  <c r="M20" i="272"/>
  <c r="I349" i="224"/>
  <c r="I351" i="224" s="1"/>
  <c r="I334" i="224"/>
  <c r="G286" i="224"/>
  <c r="I275" i="224"/>
  <c r="G340" i="224"/>
  <c r="I243" i="224"/>
  <c r="I245" i="224" s="1"/>
  <c r="G305" i="224"/>
  <c r="I352" i="224"/>
  <c r="I354" i="224" s="1"/>
  <c r="I357" i="224"/>
  <c r="I340" i="224"/>
  <c r="G275" i="224"/>
  <c r="H305" i="224"/>
  <c r="I305" i="224"/>
  <c r="G243" i="224"/>
  <c r="G245" i="224" s="1"/>
  <c r="I322" i="224"/>
  <c r="I324" i="224" s="1"/>
  <c r="I317" i="224"/>
  <c r="H275" i="224"/>
  <c r="I291" i="224"/>
  <c r="I293" i="224" s="1"/>
  <c r="I286" i="224"/>
  <c r="H245" i="224"/>
  <c r="G256" i="224"/>
  <c r="H213" i="275"/>
  <c r="H216" i="275" s="1"/>
  <c r="I213" i="275"/>
  <c r="I216" i="275" s="1"/>
  <c r="J213" i="275"/>
  <c r="J216" i="275" s="1"/>
  <c r="J217" i="275" s="1"/>
  <c r="K213" i="275"/>
  <c r="K216" i="275" s="1"/>
  <c r="K217" i="275" s="1"/>
  <c r="L213" i="275"/>
  <c r="L216" i="275" s="1"/>
  <c r="L217" i="275" s="1"/>
  <c r="M213" i="275"/>
  <c r="M216" i="275" s="1"/>
  <c r="M217" i="275" s="1"/>
  <c r="N213" i="275"/>
  <c r="N216" i="275" s="1"/>
  <c r="O213" i="275"/>
  <c r="O216" i="275" s="1"/>
  <c r="O217" i="275" s="1"/>
  <c r="P213" i="275"/>
  <c r="P216" i="275" s="1"/>
  <c r="H218" i="275"/>
  <c r="I218" i="275"/>
  <c r="J218" i="275"/>
  <c r="K218" i="275"/>
  <c r="L218" i="275"/>
  <c r="M218" i="275"/>
  <c r="N218" i="275"/>
  <c r="O218" i="275"/>
  <c r="P218" i="275"/>
  <c r="G218" i="275"/>
  <c r="G213" i="275"/>
  <c r="G216" i="275" s="1"/>
  <c r="P149" i="275"/>
  <c r="O149" i="275"/>
  <c r="N149" i="275"/>
  <c r="M149" i="275"/>
  <c r="L149" i="275"/>
  <c r="K149" i="275"/>
  <c r="J149" i="275"/>
  <c r="I149" i="275"/>
  <c r="H149" i="275"/>
  <c r="G149" i="275"/>
  <c r="P115" i="275"/>
  <c r="O115" i="275"/>
  <c r="N115" i="275"/>
  <c r="M115" i="275"/>
  <c r="L115" i="275"/>
  <c r="K115" i="275"/>
  <c r="J115" i="275"/>
  <c r="I115" i="275"/>
  <c r="H115" i="275"/>
  <c r="G115" i="275"/>
  <c r="O159" i="275"/>
  <c r="O161" i="275" s="1"/>
  <c r="M159" i="275"/>
  <c r="M161" i="275" s="1"/>
  <c r="K179" i="275"/>
  <c r="K181" i="275" s="1"/>
  <c r="P85" i="275"/>
  <c r="O85" i="275"/>
  <c r="N85" i="275"/>
  <c r="M85" i="275"/>
  <c r="L85" i="275"/>
  <c r="K85" i="275"/>
  <c r="J85" i="275"/>
  <c r="I85" i="275"/>
  <c r="H85" i="275"/>
  <c r="G85" i="275"/>
  <c r="M97" i="275"/>
  <c r="I97" i="275"/>
  <c r="L125" i="273"/>
  <c r="M125" i="273"/>
  <c r="N125" i="273"/>
  <c r="O125" i="273"/>
  <c r="P125" i="273"/>
  <c r="Q125" i="273"/>
  <c r="L130" i="273"/>
  <c r="M130" i="273"/>
  <c r="N130" i="273"/>
  <c r="O130" i="273"/>
  <c r="P130" i="273"/>
  <c r="Q130" i="273"/>
  <c r="L133" i="273"/>
  <c r="M133" i="273"/>
  <c r="P133" i="273"/>
  <c r="I125" i="273"/>
  <c r="J125" i="273"/>
  <c r="K125" i="273"/>
  <c r="I130" i="273"/>
  <c r="J130" i="273"/>
  <c r="K130" i="273"/>
  <c r="J133" i="273"/>
  <c r="J87" i="273"/>
  <c r="J103" i="273" s="1"/>
  <c r="K87" i="273"/>
  <c r="K103" i="273" s="1"/>
  <c r="L87" i="273"/>
  <c r="L103" i="273" s="1"/>
  <c r="M87" i="273"/>
  <c r="M103" i="273" s="1"/>
  <c r="N87" i="273"/>
  <c r="N103" i="273" s="1"/>
  <c r="O87" i="273"/>
  <c r="O103" i="273" s="1"/>
  <c r="P87" i="273"/>
  <c r="P103" i="273" s="1"/>
  <c r="Q87" i="273"/>
  <c r="Q103" i="273" s="1"/>
  <c r="J91" i="273"/>
  <c r="J93" i="273" s="1"/>
  <c r="K91" i="273"/>
  <c r="K93" i="273" s="1"/>
  <c r="L91" i="273"/>
  <c r="L92" i="273" s="1"/>
  <c r="M91" i="273"/>
  <c r="M93" i="273" s="1"/>
  <c r="N91" i="273"/>
  <c r="N92" i="273" s="1"/>
  <c r="O91" i="273"/>
  <c r="O92" i="273" s="1"/>
  <c r="P91" i="273"/>
  <c r="P92" i="273" s="1"/>
  <c r="Q91" i="273"/>
  <c r="Q93" i="273" s="1"/>
  <c r="J96" i="273"/>
  <c r="J106" i="273" s="1"/>
  <c r="K96" i="273"/>
  <c r="K106" i="273" s="1"/>
  <c r="L96" i="273"/>
  <c r="L106" i="273" s="1"/>
  <c r="M96" i="273"/>
  <c r="M106" i="273" s="1"/>
  <c r="N96" i="273"/>
  <c r="N106" i="273" s="1"/>
  <c r="O96" i="273"/>
  <c r="O106" i="273" s="1"/>
  <c r="P96" i="273"/>
  <c r="P106" i="273" s="1"/>
  <c r="Q96" i="273"/>
  <c r="Q106" i="273" s="1"/>
  <c r="J97" i="273"/>
  <c r="J98" i="273" s="1"/>
  <c r="K97" i="273"/>
  <c r="K98" i="273" s="1"/>
  <c r="L97" i="273"/>
  <c r="L98" i="273" s="1"/>
  <c r="M97" i="273"/>
  <c r="M98" i="273" s="1"/>
  <c r="N97" i="273"/>
  <c r="N98" i="273" s="1"/>
  <c r="O97" i="273"/>
  <c r="O98" i="273" s="1"/>
  <c r="P97" i="273"/>
  <c r="P98" i="273" s="1"/>
  <c r="Q97" i="273"/>
  <c r="Q98" i="273" s="1"/>
  <c r="I97" i="273"/>
  <c r="I98" i="273" s="1"/>
  <c r="I96" i="273"/>
  <c r="I106" i="273" s="1"/>
  <c r="I91" i="273"/>
  <c r="I93" i="273" s="1"/>
  <c r="I87" i="273"/>
  <c r="I103" i="273" s="1"/>
  <c r="Q224" i="273"/>
  <c r="P224" i="273"/>
  <c r="O224" i="273"/>
  <c r="N224" i="273"/>
  <c r="M224" i="273"/>
  <c r="L224" i="273"/>
  <c r="K224" i="273"/>
  <c r="J224" i="273"/>
  <c r="I224" i="273"/>
  <c r="H224" i="273"/>
  <c r="C3" i="273"/>
  <c r="J99" i="273" l="1"/>
  <c r="J112" i="273" s="1"/>
  <c r="N100" i="273"/>
  <c r="N101" i="273" s="1"/>
  <c r="N126" i="273" s="1"/>
  <c r="N131" i="273" s="1"/>
  <c r="L102" i="273"/>
  <c r="G335" i="224"/>
  <c r="G337" i="224" s="1"/>
  <c r="I341" i="224"/>
  <c r="I343" i="224" s="1"/>
  <c r="I358" i="224"/>
  <c r="G317" i="224"/>
  <c r="G357" i="224"/>
  <c r="G322" i="224"/>
  <c r="G324" i="224" s="1"/>
  <c r="G334" i="224"/>
  <c r="G349" i="224"/>
  <c r="G351" i="224" s="1"/>
  <c r="H317" i="224"/>
  <c r="H286" i="224"/>
  <c r="H256" i="224"/>
  <c r="G261" i="224"/>
  <c r="G263" i="224" s="1"/>
  <c r="K219" i="275"/>
  <c r="J219" i="275"/>
  <c r="M219" i="275"/>
  <c r="O219" i="275"/>
  <c r="L219" i="275"/>
  <c r="N217" i="275"/>
  <c r="N219" i="275" s="1"/>
  <c r="I217" i="275"/>
  <c r="I219" i="275" s="1"/>
  <c r="P217" i="275"/>
  <c r="P219" i="275" s="1"/>
  <c r="H217" i="275"/>
  <c r="H219" i="275" s="1"/>
  <c r="G217" i="275"/>
  <c r="G219" i="275" s="1"/>
  <c r="J86" i="275"/>
  <c r="H116" i="275"/>
  <c r="P116" i="275"/>
  <c r="N86" i="275"/>
  <c r="I116" i="275"/>
  <c r="I86" i="275"/>
  <c r="G116" i="275"/>
  <c r="O116" i="275"/>
  <c r="M116" i="275"/>
  <c r="M86" i="275"/>
  <c r="N116" i="275"/>
  <c r="O127" i="275"/>
  <c r="H86" i="275"/>
  <c r="N127" i="275"/>
  <c r="K132" i="275"/>
  <c r="K134" i="275" s="1"/>
  <c r="K97" i="275"/>
  <c r="P86" i="275"/>
  <c r="L86" i="275"/>
  <c r="J116" i="275"/>
  <c r="M127" i="275"/>
  <c r="K116" i="275"/>
  <c r="K127" i="275"/>
  <c r="L116" i="275"/>
  <c r="G86" i="275"/>
  <c r="O86" i="275"/>
  <c r="O97" i="275"/>
  <c r="M176" i="275"/>
  <c r="M178" i="275" s="1"/>
  <c r="M142" i="275"/>
  <c r="M144" i="275" s="1"/>
  <c r="M156" i="275"/>
  <c r="M158" i="275" s="1"/>
  <c r="M162" i="275" s="1"/>
  <c r="H156" i="275"/>
  <c r="H158" i="275" s="1"/>
  <c r="H142" i="275"/>
  <c r="H144" i="275" s="1"/>
  <c r="H102" i="275"/>
  <c r="H104" i="275" s="1"/>
  <c r="H176" i="275"/>
  <c r="H178" i="275" s="1"/>
  <c r="P156" i="275"/>
  <c r="P158" i="275" s="1"/>
  <c r="P142" i="275"/>
  <c r="P144" i="275" s="1"/>
  <c r="P102" i="275"/>
  <c r="P104" i="275" s="1"/>
  <c r="P176" i="275"/>
  <c r="P178" i="275" s="1"/>
  <c r="M102" i="275"/>
  <c r="M104" i="275" s="1"/>
  <c r="H97" i="275"/>
  <c r="K86" i="275"/>
  <c r="P97" i="275"/>
  <c r="O176" i="275"/>
  <c r="O178" i="275" s="1"/>
  <c r="O142" i="275"/>
  <c r="O144" i="275" s="1"/>
  <c r="O156" i="275"/>
  <c r="O158" i="275" s="1"/>
  <c r="O162" i="275" s="1"/>
  <c r="O102" i="275"/>
  <c r="O104" i="275" s="1"/>
  <c r="I127" i="275"/>
  <c r="I156" i="275"/>
  <c r="I158" i="275" s="1"/>
  <c r="I176" i="275"/>
  <c r="I178" i="275" s="1"/>
  <c r="I142" i="275"/>
  <c r="I144" i="275" s="1"/>
  <c r="I102" i="275"/>
  <c r="I104" i="275" s="1"/>
  <c r="I132" i="275"/>
  <c r="I134" i="275" s="1"/>
  <c r="I179" i="275"/>
  <c r="I181" i="275" s="1"/>
  <c r="I145" i="275"/>
  <c r="I147" i="275" s="1"/>
  <c r="I159" i="275"/>
  <c r="I161" i="275" s="1"/>
  <c r="K156" i="275"/>
  <c r="K158" i="275" s="1"/>
  <c r="K176" i="275"/>
  <c r="K178" i="275" s="1"/>
  <c r="K182" i="275" s="1"/>
  <c r="K142" i="275"/>
  <c r="K144" i="275" s="1"/>
  <c r="K102" i="275"/>
  <c r="K104" i="275" s="1"/>
  <c r="M145" i="275"/>
  <c r="M147" i="275" s="1"/>
  <c r="M179" i="275"/>
  <c r="M181" i="275" s="1"/>
  <c r="M132" i="275"/>
  <c r="M134" i="275" s="1"/>
  <c r="O145" i="275"/>
  <c r="O147" i="275" s="1"/>
  <c r="K159" i="275"/>
  <c r="K161" i="275" s="1"/>
  <c r="O179" i="275"/>
  <c r="O181" i="275" s="1"/>
  <c r="O132" i="275"/>
  <c r="O134" i="275" s="1"/>
  <c r="K145" i="275"/>
  <c r="K147" i="275" s="1"/>
  <c r="Q133" i="273"/>
  <c r="N133" i="273"/>
  <c r="K133" i="273"/>
  <c r="O133" i="273"/>
  <c r="I133" i="273"/>
  <c r="L93" i="273"/>
  <c r="K92" i="273"/>
  <c r="J92" i="273"/>
  <c r="M100" i="273"/>
  <c r="M101" i="273" s="1"/>
  <c r="M126" i="273" s="1"/>
  <c r="M102" i="273"/>
  <c r="N102" i="273"/>
  <c r="M92" i="273"/>
  <c r="J102" i="273"/>
  <c r="J117" i="273" s="1"/>
  <c r="J119" i="273" s="1"/>
  <c r="J100" i="273"/>
  <c r="J101" i="273" s="1"/>
  <c r="J126" i="273" s="1"/>
  <c r="N99" i="273"/>
  <c r="Q102" i="273"/>
  <c r="Q100" i="273"/>
  <c r="Q101" i="273" s="1"/>
  <c r="Q99" i="273"/>
  <c r="N93" i="273"/>
  <c r="M99" i="273"/>
  <c r="K102" i="273"/>
  <c r="K100" i="273"/>
  <c r="K101" i="273" s="1"/>
  <c r="K99" i="273"/>
  <c r="L99" i="273"/>
  <c r="Q92" i="273"/>
  <c r="L100" i="273"/>
  <c r="L101" i="273" s="1"/>
  <c r="P93" i="273"/>
  <c r="O99" i="273"/>
  <c r="O100" i="273"/>
  <c r="O101" i="273" s="1"/>
  <c r="O126" i="273" s="1"/>
  <c r="O102" i="273"/>
  <c r="P100" i="273"/>
  <c r="P101" i="273" s="1"/>
  <c r="P99" i="273"/>
  <c r="P102" i="273"/>
  <c r="O93" i="273"/>
  <c r="I92" i="273"/>
  <c r="I99" i="273"/>
  <c r="I102" i="273"/>
  <c r="I100" i="273"/>
  <c r="I101" i="273" s="1"/>
  <c r="I126" i="273" s="1"/>
  <c r="K117" i="273" l="1"/>
  <c r="K119" i="273" s="1"/>
  <c r="K188" i="275"/>
  <c r="N143" i="273"/>
  <c r="N182" i="273" s="1"/>
  <c r="N184" i="273" s="1"/>
  <c r="I117" i="273"/>
  <c r="I119" i="273" s="1"/>
  <c r="M117" i="273"/>
  <c r="M119" i="273" s="1"/>
  <c r="P117" i="273"/>
  <c r="P119" i="273" s="1"/>
  <c r="N117" i="273"/>
  <c r="N119" i="273" s="1"/>
  <c r="L117" i="273"/>
  <c r="L119" i="273" s="1"/>
  <c r="Q117" i="273"/>
  <c r="Q119" i="273" s="1"/>
  <c r="O117" i="273"/>
  <c r="O119" i="273" s="1"/>
  <c r="M131" i="273"/>
  <c r="M134" i="273" s="1"/>
  <c r="P126" i="273"/>
  <c r="P131" i="273" s="1"/>
  <c r="P134" i="273" s="1"/>
  <c r="I131" i="273"/>
  <c r="I134" i="273" s="1"/>
  <c r="J131" i="273"/>
  <c r="J134" i="273" s="1"/>
  <c r="K126" i="273"/>
  <c r="K131" i="273" s="1"/>
  <c r="K134" i="273" s="1"/>
  <c r="O131" i="273"/>
  <c r="O134" i="273" s="1"/>
  <c r="L126" i="273"/>
  <c r="L131" i="273" s="1"/>
  <c r="L134" i="273" s="1"/>
  <c r="Q126" i="273"/>
  <c r="Q131" i="273" s="1"/>
  <c r="Q134" i="273" s="1"/>
  <c r="N145" i="273"/>
  <c r="M143" i="273"/>
  <c r="P143" i="273"/>
  <c r="O143" i="273"/>
  <c r="Q143" i="273"/>
  <c r="I112" i="273"/>
  <c r="I143" i="273"/>
  <c r="L143" i="273"/>
  <c r="K112" i="273"/>
  <c r="K143" i="273"/>
  <c r="J143" i="273"/>
  <c r="N134" i="273"/>
  <c r="G291" i="224"/>
  <c r="G293" i="224" s="1"/>
  <c r="G352" i="224"/>
  <c r="G354" i="224" s="1"/>
  <c r="G358" i="224" s="1"/>
  <c r="H352" i="224"/>
  <c r="H354" i="224" s="1"/>
  <c r="H335" i="224"/>
  <c r="H337" i="224" s="1"/>
  <c r="G341" i="224"/>
  <c r="G343" i="224" s="1"/>
  <c r="H349" i="224"/>
  <c r="H351" i="224" s="1"/>
  <c r="H334" i="224"/>
  <c r="H357" i="224"/>
  <c r="H340" i="224"/>
  <c r="H322" i="224"/>
  <c r="H324" i="224" s="1"/>
  <c r="H291" i="224"/>
  <c r="H293" i="224" s="1"/>
  <c r="H261" i="224"/>
  <c r="H263" i="224" s="1"/>
  <c r="O182" i="275"/>
  <c r="M182" i="275"/>
  <c r="I182" i="275"/>
  <c r="K162" i="275"/>
  <c r="I162" i="275"/>
  <c r="K148" i="275"/>
  <c r="K150" i="275" s="1"/>
  <c r="I148" i="275"/>
  <c r="I150" i="275" s="1"/>
  <c r="M148" i="275"/>
  <c r="M150" i="275" s="1"/>
  <c r="O148" i="275"/>
  <c r="O150" i="275" s="1"/>
  <c r="N159" i="275"/>
  <c r="N161" i="275" s="1"/>
  <c r="G127" i="275"/>
  <c r="J97" i="275"/>
  <c r="N97" i="275"/>
  <c r="P127" i="275"/>
  <c r="H127" i="275"/>
  <c r="J156" i="275"/>
  <c r="J158" i="275" s="1"/>
  <c r="J176" i="275"/>
  <c r="J178" i="275" s="1"/>
  <c r="J142" i="275"/>
  <c r="J144" i="275" s="1"/>
  <c r="J102" i="275"/>
  <c r="J104" i="275" s="1"/>
  <c r="J127" i="275"/>
  <c r="G159" i="275"/>
  <c r="G161" i="275" s="1"/>
  <c r="G132" i="275"/>
  <c r="G134" i="275" s="1"/>
  <c r="G179" i="275"/>
  <c r="G181" i="275" s="1"/>
  <c r="G145" i="275"/>
  <c r="G147" i="275" s="1"/>
  <c r="L127" i="275"/>
  <c r="L97" i="275"/>
  <c r="G97" i="275"/>
  <c r="Q112" i="273"/>
  <c r="M112" i="273"/>
  <c r="L112" i="273"/>
  <c r="O112" i="273"/>
  <c r="P112" i="273"/>
  <c r="N112" i="273"/>
  <c r="N165" i="273" l="1"/>
  <c r="N167" i="273" s="1"/>
  <c r="I188" i="275"/>
  <c r="M188" i="275"/>
  <c r="O188" i="275"/>
  <c r="N190" i="273"/>
  <c r="N149" i="273"/>
  <c r="N151" i="273" s="1"/>
  <c r="J145" i="273"/>
  <c r="J182" i="273"/>
  <c r="J184" i="273" s="1"/>
  <c r="J165" i="273"/>
  <c r="J167" i="273" s="1"/>
  <c r="P145" i="273"/>
  <c r="P149" i="273" s="1"/>
  <c r="P165" i="273"/>
  <c r="P167" i="273" s="1"/>
  <c r="P182" i="273"/>
  <c r="P184" i="273" s="1"/>
  <c r="M145" i="273"/>
  <c r="M149" i="273" s="1"/>
  <c r="M182" i="273"/>
  <c r="M184" i="273" s="1"/>
  <c r="M165" i="273"/>
  <c r="M167" i="273" s="1"/>
  <c r="K145" i="273"/>
  <c r="K182" i="273"/>
  <c r="K184" i="273" s="1"/>
  <c r="K165" i="273"/>
  <c r="K167" i="273" s="1"/>
  <c r="Q145" i="273"/>
  <c r="Q182" i="273"/>
  <c r="Q184" i="273" s="1"/>
  <c r="Q165" i="273"/>
  <c r="Q167" i="273" s="1"/>
  <c r="I145" i="273"/>
  <c r="I149" i="273" s="1"/>
  <c r="I182" i="273"/>
  <c r="I184" i="273" s="1"/>
  <c r="I165" i="273"/>
  <c r="I167" i="273" s="1"/>
  <c r="L145" i="273"/>
  <c r="L182" i="273"/>
  <c r="L184" i="273" s="1"/>
  <c r="L165" i="273"/>
  <c r="L167" i="273" s="1"/>
  <c r="O145" i="273"/>
  <c r="O149" i="273" s="1"/>
  <c r="O165" i="273"/>
  <c r="O167" i="273" s="1"/>
  <c r="O182" i="273"/>
  <c r="O184" i="273" s="1"/>
  <c r="H358" i="224"/>
  <c r="H341" i="224"/>
  <c r="H343" i="224" s="1"/>
  <c r="N179" i="275"/>
  <c r="N181" i="275" s="1"/>
  <c r="N132" i="275"/>
  <c r="N134" i="275" s="1"/>
  <c r="N145" i="275"/>
  <c r="N147" i="275" s="1"/>
  <c r="H132" i="275"/>
  <c r="H134" i="275" s="1"/>
  <c r="H179" i="275"/>
  <c r="H181" i="275" s="1"/>
  <c r="H182" i="275" s="1"/>
  <c r="H145" i="275"/>
  <c r="H147" i="275" s="1"/>
  <c r="H148" i="275" s="1"/>
  <c r="H159" i="275"/>
  <c r="H161" i="275" s="1"/>
  <c r="H162" i="275" s="1"/>
  <c r="L159" i="275"/>
  <c r="L161" i="275" s="1"/>
  <c r="L132" i="275"/>
  <c r="L134" i="275" s="1"/>
  <c r="L179" i="275"/>
  <c r="L181" i="275" s="1"/>
  <c r="L145" i="275"/>
  <c r="L147" i="275" s="1"/>
  <c r="L176" i="275"/>
  <c r="L178" i="275" s="1"/>
  <c r="L142" i="275"/>
  <c r="L144" i="275" s="1"/>
  <c r="L156" i="275"/>
  <c r="L158" i="275" s="1"/>
  <c r="L102" i="275"/>
  <c r="L104" i="275" s="1"/>
  <c r="G176" i="275"/>
  <c r="G178" i="275" s="1"/>
  <c r="G182" i="275" s="1"/>
  <c r="G142" i="275"/>
  <c r="G144" i="275" s="1"/>
  <c r="G156" i="275"/>
  <c r="G158" i="275" s="1"/>
  <c r="G162" i="275" s="1"/>
  <c r="G102" i="275"/>
  <c r="G104" i="275" s="1"/>
  <c r="P132" i="275"/>
  <c r="P134" i="275" s="1"/>
  <c r="P179" i="275"/>
  <c r="P181" i="275" s="1"/>
  <c r="P182" i="275" s="1"/>
  <c r="P145" i="275"/>
  <c r="P147" i="275" s="1"/>
  <c r="P148" i="275" s="1"/>
  <c r="P159" i="275"/>
  <c r="P161" i="275" s="1"/>
  <c r="P162" i="275" s="1"/>
  <c r="J132" i="275"/>
  <c r="J134" i="275" s="1"/>
  <c r="J179" i="275"/>
  <c r="J181" i="275" s="1"/>
  <c r="J182" i="275" s="1"/>
  <c r="J145" i="275"/>
  <c r="J147" i="275" s="1"/>
  <c r="J148" i="275" s="1"/>
  <c r="J159" i="275"/>
  <c r="J161" i="275" s="1"/>
  <c r="J162" i="275" s="1"/>
  <c r="N176" i="275"/>
  <c r="N178" i="275" s="1"/>
  <c r="N142" i="275"/>
  <c r="N144" i="275" s="1"/>
  <c r="N156" i="275"/>
  <c r="N158" i="275" s="1"/>
  <c r="N162" i="275" s="1"/>
  <c r="N102" i="275"/>
  <c r="N104" i="275" s="1"/>
  <c r="G188" i="275" l="1"/>
  <c r="H188" i="275"/>
  <c r="P188" i="275"/>
  <c r="J188" i="275"/>
  <c r="K190" i="273"/>
  <c r="J190" i="273"/>
  <c r="O190" i="273"/>
  <c r="Q190" i="273"/>
  <c r="P190" i="273"/>
  <c r="I190" i="273"/>
  <c r="M190" i="273"/>
  <c r="L190" i="273"/>
  <c r="L149" i="273"/>
  <c r="L151" i="273" s="1"/>
  <c r="K149" i="273"/>
  <c r="K151" i="273" s="1"/>
  <c r="J149" i="273"/>
  <c r="J151" i="273" s="1"/>
  <c r="Q149" i="273"/>
  <c r="Q151" i="273" s="1"/>
  <c r="M151" i="273"/>
  <c r="O151" i="273"/>
  <c r="I151" i="273"/>
  <c r="P151" i="273"/>
  <c r="L182" i="275"/>
  <c r="N182" i="275"/>
  <c r="L148" i="275"/>
  <c r="L150" i="275" s="1"/>
  <c r="N148" i="275"/>
  <c r="N150" i="275" s="1"/>
  <c r="L162" i="275"/>
  <c r="G148" i="275"/>
  <c r="G150" i="275" s="1"/>
  <c r="J150" i="275"/>
  <c r="H150" i="275"/>
  <c r="P150" i="275"/>
  <c r="I234" i="224"/>
  <c r="L340" i="224"/>
  <c r="P322" i="224"/>
  <c r="P324" i="224" s="1"/>
  <c r="J304" i="224"/>
  <c r="K304" i="224"/>
  <c r="L304" i="224"/>
  <c r="M304" i="224"/>
  <c r="N304" i="224"/>
  <c r="O304" i="224"/>
  <c r="P304" i="224"/>
  <c r="K342" i="224"/>
  <c r="L342" i="224"/>
  <c r="M342" i="224"/>
  <c r="N342" i="224"/>
  <c r="O342" i="224"/>
  <c r="P342" i="224"/>
  <c r="J342" i="224"/>
  <c r="J274" i="224"/>
  <c r="K274" i="224"/>
  <c r="L274" i="224"/>
  <c r="M274" i="224"/>
  <c r="N274" i="224"/>
  <c r="O274" i="224"/>
  <c r="P274" i="224"/>
  <c r="G24" i="228"/>
  <c r="G26" i="228" s="1"/>
  <c r="G27" i="228" s="1"/>
  <c r="H24" i="228"/>
  <c r="H26" i="228" s="1"/>
  <c r="H27" i="228" s="1"/>
  <c r="I24" i="228"/>
  <c r="I26" i="228" s="1"/>
  <c r="I27" i="228" s="1"/>
  <c r="N286" i="224"/>
  <c r="G234" i="224"/>
  <c r="K244" i="224"/>
  <c r="L244" i="224"/>
  <c r="M244" i="224"/>
  <c r="N244" i="224"/>
  <c r="O244" i="224"/>
  <c r="P244" i="224"/>
  <c r="J244" i="224"/>
  <c r="M243" i="224"/>
  <c r="N243" i="224"/>
  <c r="O243" i="224"/>
  <c r="P243" i="224"/>
  <c r="N188" i="275" l="1"/>
  <c r="L188" i="275"/>
  <c r="P291" i="224"/>
  <c r="P293" i="224" s="1"/>
  <c r="L291" i="224"/>
  <c r="L293" i="224" s="1"/>
  <c r="M305" i="224"/>
  <c r="L349" i="224"/>
  <c r="L351" i="224" s="1"/>
  <c r="P349" i="224"/>
  <c r="P351" i="224" s="1"/>
  <c r="N349" i="224"/>
  <c r="N351" i="224" s="1"/>
  <c r="J275" i="224"/>
  <c r="P275" i="224"/>
  <c r="N317" i="224"/>
  <c r="L286" i="224"/>
  <c r="N322" i="224"/>
  <c r="N324" i="224" s="1"/>
  <c r="L322" i="224"/>
  <c r="L324" i="224" s="1"/>
  <c r="N291" i="224"/>
  <c r="N293" i="224" s="1"/>
  <c r="O357" i="224"/>
  <c r="O317" i="224"/>
  <c r="O305" i="224"/>
  <c r="N335" i="224"/>
  <c r="N337" i="224" s="1"/>
  <c r="M317" i="224"/>
  <c r="M340" i="224"/>
  <c r="P317" i="224"/>
  <c r="N340" i="224"/>
  <c r="L357" i="224"/>
  <c r="N275" i="224"/>
  <c r="K286" i="224"/>
  <c r="M352" i="224"/>
  <c r="M354" i="224" s="1"/>
  <c r="M335" i="224"/>
  <c r="M337" i="224" s="1"/>
  <c r="K243" i="224"/>
  <c r="N357" i="224"/>
  <c r="J243" i="224"/>
  <c r="M286" i="224"/>
  <c r="N261" i="224"/>
  <c r="N263" i="224" s="1"/>
  <c r="K305" i="224"/>
  <c r="L243" i="224"/>
  <c r="L261" i="224"/>
  <c r="L263" i="224" s="1"/>
  <c r="M275" i="224"/>
  <c r="N305" i="224"/>
  <c r="O275" i="224"/>
  <c r="P305" i="224"/>
  <c r="J349" i="224"/>
  <c r="J351" i="224" s="1"/>
  <c r="J261" i="224"/>
  <c r="J286" i="224"/>
  <c r="L275" i="224"/>
  <c r="K275" i="224"/>
  <c r="P286" i="224"/>
  <c r="L335" i="224"/>
  <c r="L337" i="224" s="1"/>
  <c r="P352" i="224"/>
  <c r="P354" i="224" s="1"/>
  <c r="P335" i="224"/>
  <c r="P337" i="224" s="1"/>
  <c r="L352" i="224"/>
  <c r="L354" i="224" s="1"/>
  <c r="P261" i="224"/>
  <c r="P263" i="224" s="1"/>
  <c r="L317" i="224"/>
  <c r="L305" i="224"/>
  <c r="M291" i="224"/>
  <c r="M293" i="224" s="1"/>
  <c r="K317" i="224"/>
  <c r="P340" i="224"/>
  <c r="P357" i="224"/>
  <c r="J305" i="224"/>
  <c r="N352" i="224"/>
  <c r="N354" i="224" s="1"/>
  <c r="O322" i="224" l="1"/>
  <c r="O324" i="224" s="1"/>
  <c r="O340" i="224"/>
  <c r="L358" i="224"/>
  <c r="M357" i="224"/>
  <c r="M322" i="224"/>
  <c r="M324" i="224" s="1"/>
  <c r="N358" i="224"/>
  <c r="P358" i="224"/>
  <c r="J317" i="224"/>
  <c r="O286" i="224"/>
  <c r="J352" i="224"/>
  <c r="J354" i="224" s="1"/>
  <c r="J335" i="224"/>
  <c r="J337" i="224" s="1"/>
  <c r="J291" i="224"/>
  <c r="J293" i="224" s="1"/>
  <c r="K349" i="224"/>
  <c r="K351" i="224" s="1"/>
  <c r="K261" i="224"/>
  <c r="K263" i="224" s="1"/>
  <c r="K357" i="224"/>
  <c r="K340" i="224"/>
  <c r="K322" i="224"/>
  <c r="K324" i="224" s="1"/>
  <c r="O349" i="224" l="1"/>
  <c r="O351" i="224" s="1"/>
  <c r="O261" i="224"/>
  <c r="O263" i="224" s="1"/>
  <c r="K335" i="224"/>
  <c r="K337" i="224" s="1"/>
  <c r="K291" i="224"/>
  <c r="K293" i="224" s="1"/>
  <c r="K352" i="224"/>
  <c r="K354" i="224" s="1"/>
  <c r="K358" i="224" s="1"/>
  <c r="J340" i="224"/>
  <c r="J322" i="224"/>
  <c r="J324" i="224" s="1"/>
  <c r="J357" i="224"/>
  <c r="J358" i="224" s="1"/>
  <c r="M261" i="224"/>
  <c r="M263" i="224" s="1"/>
  <c r="M349" i="224"/>
  <c r="M351" i="224" s="1"/>
  <c r="M358" i="224" s="1"/>
  <c r="O352" i="224"/>
  <c r="O354" i="224" s="1"/>
  <c r="O335" i="224"/>
  <c r="O337" i="224" s="1"/>
  <c r="O291" i="224"/>
  <c r="O293" i="224" s="1"/>
  <c r="O358" i="224" l="1"/>
  <c r="G231" i="275" l="1"/>
  <c r="I231" i="275" s="1"/>
  <c r="D58" i="279"/>
  <c r="D50" i="279"/>
  <c r="D42" i="279"/>
  <c r="D46" i="279"/>
  <c r="D54" i="279"/>
  <c r="D34" i="279"/>
  <c r="D26" i="279"/>
  <c r="D30" i="279"/>
  <c r="D62" i="279"/>
  <c r="D22" i="279" l="1"/>
  <c r="D38" i="279"/>
  <c r="G4" i="271" l="1"/>
  <c r="F4" i="271"/>
  <c r="E4" i="271"/>
  <c r="J43" i="219" l="1"/>
  <c r="J45" i="219" s="1"/>
  <c r="J46" i="219" s="1"/>
  <c r="J79" i="219"/>
  <c r="J81" i="219" s="1"/>
  <c r="J82" i="219" s="1"/>
  <c r="J98" i="219"/>
  <c r="J100" i="219" s="1"/>
  <c r="J59" i="219"/>
  <c r="J61" i="219" s="1"/>
  <c r="J62" i="219" s="1"/>
  <c r="J214" i="219"/>
  <c r="J216" i="219" s="1"/>
  <c r="J217" i="219" s="1"/>
  <c r="J156" i="219"/>
  <c r="J158" i="219" s="1"/>
  <c r="J159" i="219" s="1"/>
  <c r="J119" i="219"/>
  <c r="J121" i="219" s="1"/>
  <c r="J122" i="219" s="1"/>
  <c r="G318" i="279"/>
  <c r="G320" i="279" s="1"/>
  <c r="G321" i="279" s="1"/>
  <c r="O339" i="279"/>
  <c r="O341" i="279" s="1"/>
  <c r="O342" i="279" s="1"/>
  <c r="N318" i="279"/>
  <c r="N320" i="279" s="1"/>
  <c r="N321" i="279" s="1"/>
  <c r="L376" i="279"/>
  <c r="L378" i="279" s="1"/>
  <c r="L379" i="279" s="1"/>
  <c r="J318" i="279"/>
  <c r="J320" i="279" s="1"/>
  <c r="J321" i="279" s="1"/>
  <c r="N59" i="278"/>
  <c r="N61" i="278" s="1"/>
  <c r="N62" i="278" s="1"/>
  <c r="K376" i="279"/>
  <c r="K378" i="279" s="1"/>
  <c r="K379" i="279" s="1"/>
  <c r="H339" i="279"/>
  <c r="H341" i="279" s="1"/>
  <c r="H342" i="279" s="1"/>
  <c r="P339" i="279"/>
  <c r="P341" i="279" s="1"/>
  <c r="P342" i="279" s="1"/>
  <c r="O318" i="279"/>
  <c r="O320" i="279" s="1"/>
  <c r="O321" i="279" s="1"/>
  <c r="M376" i="279"/>
  <c r="M378" i="279" s="1"/>
  <c r="M379" i="279" s="1"/>
  <c r="I339" i="279"/>
  <c r="I341" i="279" s="1"/>
  <c r="I342" i="279" s="1"/>
  <c r="G339" i="279"/>
  <c r="G341" i="279" s="1"/>
  <c r="G342" i="279" s="1"/>
  <c r="P318" i="279"/>
  <c r="P320" i="279" s="1"/>
  <c r="P321" i="279" s="1"/>
  <c r="N376" i="279"/>
  <c r="N378" i="279" s="1"/>
  <c r="N379" i="279" s="1"/>
  <c r="K339" i="279"/>
  <c r="K341" i="279" s="1"/>
  <c r="K342" i="279" s="1"/>
  <c r="P376" i="279"/>
  <c r="P378" i="279" s="1"/>
  <c r="P379" i="279" s="1"/>
  <c r="L318" i="279"/>
  <c r="L320" i="279" s="1"/>
  <c r="L321" i="279" s="1"/>
  <c r="N339" i="279"/>
  <c r="N341" i="279" s="1"/>
  <c r="N342" i="279" s="1"/>
  <c r="J339" i="279"/>
  <c r="J341" i="279" s="1"/>
  <c r="J342" i="279" s="1"/>
  <c r="I318" i="279"/>
  <c r="I320" i="279" s="1"/>
  <c r="I321" i="279" s="1"/>
  <c r="H318" i="279"/>
  <c r="H320" i="279" s="1"/>
  <c r="H321" i="279" s="1"/>
  <c r="O376" i="279"/>
  <c r="O378" i="279" s="1"/>
  <c r="O379" i="279" s="1"/>
  <c r="M59" i="278"/>
  <c r="M61" i="278" s="1"/>
  <c r="M62" i="278" s="1"/>
  <c r="H376" i="279"/>
  <c r="H378" i="279" s="1"/>
  <c r="H379" i="279" s="1"/>
  <c r="M318" i="279"/>
  <c r="M320" i="279" s="1"/>
  <c r="M321" i="279" s="1"/>
  <c r="L339" i="279"/>
  <c r="L341" i="279" s="1"/>
  <c r="L342" i="279" s="1"/>
  <c r="K318" i="279"/>
  <c r="K320" i="279" s="1"/>
  <c r="K321" i="279" s="1"/>
  <c r="I376" i="279"/>
  <c r="I378" i="279" s="1"/>
  <c r="I379" i="279" s="1"/>
  <c r="G376" i="279"/>
  <c r="G378" i="279" s="1"/>
  <c r="G379" i="279" s="1"/>
  <c r="O59" i="278"/>
  <c r="O61" i="278" s="1"/>
  <c r="O62" i="278" s="1"/>
  <c r="M339" i="279"/>
  <c r="M341" i="279" s="1"/>
  <c r="M342" i="279" s="1"/>
  <c r="J376" i="279"/>
  <c r="J378" i="279" s="1"/>
  <c r="J379" i="279" s="1"/>
  <c r="P59" i="278"/>
  <c r="P61" i="278" s="1"/>
  <c r="P62" i="278" s="1"/>
  <c r="O299" i="279"/>
  <c r="M279" i="279"/>
  <c r="M281" i="279" s="1"/>
  <c r="M282" i="279" s="1"/>
  <c r="H299" i="279"/>
  <c r="P299" i="279"/>
  <c r="N279" i="279"/>
  <c r="N281" i="279" s="1"/>
  <c r="N282" i="279" s="1"/>
  <c r="I299" i="279"/>
  <c r="G299" i="279"/>
  <c r="G301" i="279" s="1"/>
  <c r="O279" i="279"/>
  <c r="O281" i="279" s="1"/>
  <c r="O282" i="279" s="1"/>
  <c r="I279" i="279"/>
  <c r="I281" i="279" s="1"/>
  <c r="I282" i="279" s="1"/>
  <c r="G279" i="279"/>
  <c r="G281" i="279" s="1"/>
  <c r="G282" i="279" s="1"/>
  <c r="J299" i="279"/>
  <c r="H279" i="279"/>
  <c r="H281" i="279" s="1"/>
  <c r="H282" i="279" s="1"/>
  <c r="P279" i="279"/>
  <c r="P281" i="279" s="1"/>
  <c r="P282" i="279" s="1"/>
  <c r="K299" i="279"/>
  <c r="L299" i="279"/>
  <c r="J279" i="279"/>
  <c r="J281" i="279" s="1"/>
  <c r="J282" i="279" s="1"/>
  <c r="L279" i="279"/>
  <c r="L281" i="279" s="1"/>
  <c r="L282" i="279" s="1"/>
  <c r="M299" i="279"/>
  <c r="K279" i="279"/>
  <c r="K281" i="279" s="1"/>
  <c r="K282" i="279" s="1"/>
  <c r="N299" i="279"/>
  <c r="N79" i="219"/>
  <c r="N81" i="219" s="1"/>
  <c r="K98" i="219"/>
  <c r="K100" i="219" s="1"/>
  <c r="K102" i="219" s="1"/>
  <c r="K79" i="219"/>
  <c r="K81" i="219" s="1"/>
  <c r="H59" i="278"/>
  <c r="H61" i="278" s="1"/>
  <c r="H62" i="278" s="1"/>
  <c r="L79" i="219"/>
  <c r="L81" i="219" s="1"/>
  <c r="N98" i="219"/>
  <c r="N100" i="219" s="1"/>
  <c r="P98" i="219"/>
  <c r="P100" i="219" s="1"/>
  <c r="I79" i="219"/>
  <c r="I81" i="219" s="1"/>
  <c r="I82" i="219" s="1"/>
  <c r="M79" i="219"/>
  <c r="M81" i="219" s="1"/>
  <c r="H98" i="219"/>
  <c r="H100" i="219" s="1"/>
  <c r="H79" i="219"/>
  <c r="H81" i="219" s="1"/>
  <c r="H82" i="219" s="1"/>
  <c r="I59" i="278"/>
  <c r="I61" i="278" s="1"/>
  <c r="I62" i="278" s="1"/>
  <c r="O79" i="219"/>
  <c r="O81" i="219" s="1"/>
  <c r="L98" i="219"/>
  <c r="L100" i="219" s="1"/>
  <c r="G59" i="278"/>
  <c r="G61" i="278" s="1"/>
  <c r="G62" i="278" s="1"/>
  <c r="O98" i="219"/>
  <c r="O100" i="219" s="1"/>
  <c r="M98" i="219"/>
  <c r="M100" i="219" s="1"/>
  <c r="J59" i="278"/>
  <c r="J61" i="278" s="1"/>
  <c r="J62" i="278" s="1"/>
  <c r="G98" i="219"/>
  <c r="G100" i="219" s="1"/>
  <c r="G102" i="219" s="1"/>
  <c r="K59" i="278"/>
  <c r="K61" i="278" s="1"/>
  <c r="K62" i="278" s="1"/>
  <c r="I98" i="219"/>
  <c r="I100" i="219" s="1"/>
  <c r="P79" i="219"/>
  <c r="P81" i="219" s="1"/>
  <c r="G79" i="219"/>
  <c r="G81" i="219" s="1"/>
  <c r="L59" i="278"/>
  <c r="L61" i="278" s="1"/>
  <c r="L62" i="278" s="1"/>
  <c r="I183" i="278"/>
  <c r="G183" i="278"/>
  <c r="O183" i="278"/>
  <c r="J183" i="278"/>
  <c r="P183" i="278"/>
  <c r="K183" i="278"/>
  <c r="N183" i="278"/>
  <c r="L183" i="278"/>
  <c r="H183" i="278"/>
  <c r="M183" i="278"/>
  <c r="P59" i="219"/>
  <c r="P61" i="219" s="1"/>
  <c r="P62" i="219" s="1"/>
  <c r="O119" i="219"/>
  <c r="O121" i="219" s="1"/>
  <c r="H43" i="219"/>
  <c r="H45" i="219" s="1"/>
  <c r="H46" i="219" s="1"/>
  <c r="N214" i="219"/>
  <c r="N216" i="219" s="1"/>
  <c r="N156" i="219"/>
  <c r="N158" i="219" s="1"/>
  <c r="N43" i="219"/>
  <c r="N45" i="219" s="1"/>
  <c r="N46" i="219" s="1"/>
  <c r="L214" i="219"/>
  <c r="L216" i="219" s="1"/>
  <c r="P43" i="219"/>
  <c r="P45" i="219" s="1"/>
  <c r="P46" i="219" s="1"/>
  <c r="L156" i="219"/>
  <c r="L158" i="219" s="1"/>
  <c r="O59" i="219"/>
  <c r="O61" i="219" s="1"/>
  <c r="O62" i="219" s="1"/>
  <c r="H156" i="219"/>
  <c r="H158" i="219" s="1"/>
  <c r="H159" i="219" s="1"/>
  <c r="K59" i="219"/>
  <c r="K61" i="219" s="1"/>
  <c r="K62" i="219" s="1"/>
  <c r="M119" i="219"/>
  <c r="M121" i="219" s="1"/>
  <c r="M59" i="219"/>
  <c r="M61" i="219" s="1"/>
  <c r="M62" i="219" s="1"/>
  <c r="P156" i="219"/>
  <c r="P158" i="219" s="1"/>
  <c r="L43" i="219"/>
  <c r="L45" i="219" s="1"/>
  <c r="L46" i="219" s="1"/>
  <c r="I59" i="219"/>
  <c r="I61" i="219" s="1"/>
  <c r="I62" i="219" s="1"/>
  <c r="H119" i="219"/>
  <c r="H121" i="219" s="1"/>
  <c r="H122" i="219" s="1"/>
  <c r="G214" i="219"/>
  <c r="G216" i="219" s="1"/>
  <c r="G217" i="219" s="1"/>
  <c r="I43" i="219"/>
  <c r="I45" i="219" s="1"/>
  <c r="I46" i="219" s="1"/>
  <c r="M43" i="219"/>
  <c r="M45" i="219" s="1"/>
  <c r="M46" i="219" s="1"/>
  <c r="K43" i="219"/>
  <c r="K45" i="219" s="1"/>
  <c r="K46" i="219" s="1"/>
  <c r="G119" i="219"/>
  <c r="G121" i="219" s="1"/>
  <c r="N119" i="219"/>
  <c r="N121" i="219" s="1"/>
  <c r="G59" i="219"/>
  <c r="G61" i="219" s="1"/>
  <c r="P119" i="219"/>
  <c r="P121" i="219" s="1"/>
  <c r="M214" i="219"/>
  <c r="M216" i="219" s="1"/>
  <c r="G43" i="219"/>
  <c r="G45" i="219" s="1"/>
  <c r="O214" i="219"/>
  <c r="O216" i="219" s="1"/>
  <c r="P214" i="219"/>
  <c r="P216" i="219" s="1"/>
  <c r="K214" i="219"/>
  <c r="K216" i="219" s="1"/>
  <c r="O43" i="219"/>
  <c r="O45" i="219" s="1"/>
  <c r="O46" i="219" s="1"/>
  <c r="K156" i="219"/>
  <c r="K158" i="219" s="1"/>
  <c r="H214" i="219"/>
  <c r="H216" i="219" s="1"/>
  <c r="H217" i="219" s="1"/>
  <c r="H218" i="219" s="1"/>
  <c r="M156" i="219"/>
  <c r="M158" i="219" s="1"/>
  <c r="N59" i="219"/>
  <c r="N61" i="219" s="1"/>
  <c r="N62" i="219" s="1"/>
  <c r="I214" i="219"/>
  <c r="I216" i="219" s="1"/>
  <c r="I217" i="219" s="1"/>
  <c r="I156" i="219"/>
  <c r="I158" i="219" s="1"/>
  <c r="I159" i="219" s="1"/>
  <c r="L119" i="219"/>
  <c r="L121" i="219" s="1"/>
  <c r="I119" i="219"/>
  <c r="I121" i="219" s="1"/>
  <c r="I122" i="219" s="1"/>
  <c r="O156" i="219"/>
  <c r="O158" i="219" s="1"/>
  <c r="L59" i="219"/>
  <c r="L61" i="219" s="1"/>
  <c r="L62" i="219" s="1"/>
  <c r="K119" i="219"/>
  <c r="K121" i="219" s="1"/>
  <c r="H59" i="219"/>
  <c r="H61" i="219" s="1"/>
  <c r="H62" i="219" s="1"/>
  <c r="G156" i="219"/>
  <c r="G158" i="219" s="1"/>
  <c r="G159" i="219" s="1"/>
  <c r="M136" i="278"/>
  <c r="M138" i="278" s="1"/>
  <c r="M139" i="278" s="1"/>
  <c r="K99" i="278"/>
  <c r="K101" i="278" s="1"/>
  <c r="K102" i="278" s="1"/>
  <c r="I78" i="278"/>
  <c r="I80" i="278" s="1"/>
  <c r="I81" i="278" s="1"/>
  <c r="G78" i="278"/>
  <c r="G80" i="278" s="1"/>
  <c r="G81" i="278" s="1"/>
  <c r="M39" i="278"/>
  <c r="M41" i="278" s="1"/>
  <c r="M42" i="278" s="1"/>
  <c r="H99" i="278"/>
  <c r="H101" i="278" s="1"/>
  <c r="H102" i="278" s="1"/>
  <c r="N78" i="278"/>
  <c r="N80" i="278" s="1"/>
  <c r="N81" i="278" s="1"/>
  <c r="K136" i="278"/>
  <c r="K138" i="278" s="1"/>
  <c r="K139" i="278" s="1"/>
  <c r="O78" i="278"/>
  <c r="O80" i="278" s="1"/>
  <c r="O81" i="278" s="1"/>
  <c r="L136" i="278"/>
  <c r="L138" i="278" s="1"/>
  <c r="L139" i="278" s="1"/>
  <c r="N136" i="278"/>
  <c r="N138" i="278" s="1"/>
  <c r="N139" i="278" s="1"/>
  <c r="L99" i="278"/>
  <c r="L101" i="278" s="1"/>
  <c r="L102" i="278" s="1"/>
  <c r="J78" i="278"/>
  <c r="J80" i="278" s="1"/>
  <c r="J81" i="278" s="1"/>
  <c r="N39" i="278"/>
  <c r="N41" i="278" s="1"/>
  <c r="N42" i="278" s="1"/>
  <c r="J39" i="278"/>
  <c r="J41" i="278" s="1"/>
  <c r="J42" i="278" s="1"/>
  <c r="J99" i="278"/>
  <c r="J101" i="278" s="1"/>
  <c r="J102" i="278" s="1"/>
  <c r="O136" i="278"/>
  <c r="O138" i="278" s="1"/>
  <c r="O139" i="278" s="1"/>
  <c r="M99" i="278"/>
  <c r="M101" i="278" s="1"/>
  <c r="M102" i="278" s="1"/>
  <c r="K78" i="278"/>
  <c r="K80" i="278" s="1"/>
  <c r="K81" i="278" s="1"/>
  <c r="O39" i="278"/>
  <c r="O41" i="278" s="1"/>
  <c r="O42" i="278" s="1"/>
  <c r="G39" i="278"/>
  <c r="G41" i="278" s="1"/>
  <c r="G42" i="278" s="1"/>
  <c r="P99" i="278"/>
  <c r="P101" i="278" s="1"/>
  <c r="P102" i="278" s="1"/>
  <c r="P78" i="278"/>
  <c r="P80" i="278" s="1"/>
  <c r="P81" i="278" s="1"/>
  <c r="H136" i="278"/>
  <c r="H138" i="278" s="1"/>
  <c r="H139" i="278" s="1"/>
  <c r="P136" i="278"/>
  <c r="P138" i="278" s="1"/>
  <c r="P139" i="278" s="1"/>
  <c r="N99" i="278"/>
  <c r="N101" i="278" s="1"/>
  <c r="N102" i="278" s="1"/>
  <c r="L78" i="278"/>
  <c r="L80" i="278" s="1"/>
  <c r="L81" i="278" s="1"/>
  <c r="H39" i="278"/>
  <c r="H41" i="278" s="1"/>
  <c r="H42" i="278" s="1"/>
  <c r="P39" i="278"/>
  <c r="P41" i="278" s="1"/>
  <c r="P42" i="278" s="1"/>
  <c r="M78" i="278"/>
  <c r="M80" i="278" s="1"/>
  <c r="M81" i="278" s="1"/>
  <c r="I39" i="278"/>
  <c r="I41" i="278" s="1"/>
  <c r="I42" i="278" s="1"/>
  <c r="J136" i="278"/>
  <c r="J138" i="278" s="1"/>
  <c r="J139" i="278" s="1"/>
  <c r="G99" i="278"/>
  <c r="G101" i="278" s="1"/>
  <c r="G102" i="278" s="1"/>
  <c r="I136" i="278"/>
  <c r="I138" i="278" s="1"/>
  <c r="I139" i="278" s="1"/>
  <c r="G136" i="278"/>
  <c r="G138" i="278" s="1"/>
  <c r="G139" i="278" s="1"/>
  <c r="O99" i="278"/>
  <c r="O101" i="278" s="1"/>
  <c r="O102" i="278" s="1"/>
  <c r="I99" i="278"/>
  <c r="I101" i="278" s="1"/>
  <c r="I102" i="278" s="1"/>
  <c r="K39" i="278"/>
  <c r="K41" i="278" s="1"/>
  <c r="K42" i="278" s="1"/>
  <c r="H78" i="278"/>
  <c r="H80" i="278" s="1"/>
  <c r="H81" i="278" s="1"/>
  <c r="L39" i="278"/>
  <c r="L41" i="278" s="1"/>
  <c r="L42" i="278" s="1"/>
  <c r="J102" i="219" l="1"/>
  <c r="J101" i="219"/>
  <c r="I101" i="219"/>
  <c r="H101" i="219"/>
  <c r="N307" i="279"/>
  <c r="N301" i="279"/>
  <c r="N302" i="279" s="1"/>
  <c r="P307" i="279"/>
  <c r="P301" i="279"/>
  <c r="P302" i="279" s="1"/>
  <c r="R81" i="219"/>
  <c r="G82" i="219"/>
  <c r="J307" i="279"/>
  <c r="J301" i="279"/>
  <c r="J302" i="279" s="1"/>
  <c r="H307" i="279"/>
  <c r="H301" i="279"/>
  <c r="H302" i="279" s="1"/>
  <c r="M307" i="279"/>
  <c r="M301" i="279"/>
  <c r="M302" i="279" s="1"/>
  <c r="O307" i="279"/>
  <c r="O301" i="279"/>
  <c r="O302" i="279" s="1"/>
  <c r="R100" i="219"/>
  <c r="G101" i="219"/>
  <c r="L307" i="279"/>
  <c r="L301" i="279"/>
  <c r="L302" i="279" s="1"/>
  <c r="G311" i="279"/>
  <c r="G302" i="279"/>
  <c r="K307" i="279"/>
  <c r="K301" i="279"/>
  <c r="K302" i="279" s="1"/>
  <c r="I307" i="279"/>
  <c r="I301" i="279"/>
  <c r="I302" i="279" s="1"/>
  <c r="L185" i="278"/>
  <c r="L186" i="278" s="1"/>
  <c r="N185" i="278"/>
  <c r="N186" i="278" s="1"/>
  <c r="N188" i="278" s="1"/>
  <c r="K185" i="278"/>
  <c r="K186" i="278" s="1"/>
  <c r="K187" i="278" s="1"/>
  <c r="J185" i="278"/>
  <c r="J186" i="278" s="1"/>
  <c r="O185" i="278"/>
  <c r="O186" i="278" s="1"/>
  <c r="O188" i="278" s="1"/>
  <c r="M185" i="278"/>
  <c r="M186" i="278" s="1"/>
  <c r="G185" i="278"/>
  <c r="G186" i="278" s="1"/>
  <c r="P185" i="278"/>
  <c r="P186" i="278" s="1"/>
  <c r="P188" i="278" s="1"/>
  <c r="H185" i="278"/>
  <c r="H186" i="278" s="1"/>
  <c r="I185" i="278"/>
  <c r="I186" i="278" s="1"/>
  <c r="G62" i="219"/>
  <c r="R61" i="219"/>
  <c r="R216" i="219"/>
  <c r="R158" i="219"/>
  <c r="R121" i="219"/>
  <c r="G122" i="219"/>
  <c r="R45" i="219"/>
  <c r="G46" i="219"/>
  <c r="H219" i="219"/>
  <c r="I219" i="219"/>
  <c r="J219" i="219"/>
  <c r="G219" i="219"/>
  <c r="P303" i="279"/>
  <c r="P311" i="279"/>
  <c r="N352" i="279"/>
  <c r="N356" i="279"/>
  <c r="H303" i="279"/>
  <c r="H311" i="279"/>
  <c r="G307" i="279"/>
  <c r="G303" i="279"/>
  <c r="P352" i="279"/>
  <c r="P356" i="279"/>
  <c r="J329" i="279"/>
  <c r="J332" i="279"/>
  <c r="J327" i="279"/>
  <c r="J322" i="279"/>
  <c r="J352" i="279"/>
  <c r="J369" i="279"/>
  <c r="J363" i="279"/>
  <c r="J365" i="279" s="1"/>
  <c r="J349" i="279"/>
  <c r="J345" i="279"/>
  <c r="J356" i="279"/>
  <c r="J360" i="279"/>
  <c r="J362" i="279" s="1"/>
  <c r="K311" i="279"/>
  <c r="K303" i="279"/>
  <c r="I352" i="279"/>
  <c r="I369" i="279"/>
  <c r="I360" i="279"/>
  <c r="I362" i="279" s="1"/>
  <c r="I363" i="279"/>
  <c r="I365" i="279" s="1"/>
  <c r="I349" i="279"/>
  <c r="I345" i="279"/>
  <c r="I356" i="279"/>
  <c r="I311" i="279"/>
  <c r="I303" i="279"/>
  <c r="L352" i="279"/>
  <c r="L356" i="279"/>
  <c r="O311" i="279"/>
  <c r="O303" i="279"/>
  <c r="H360" i="279"/>
  <c r="H362" i="279" s="1"/>
  <c r="H345" i="279"/>
  <c r="H352" i="279"/>
  <c r="H349" i="279"/>
  <c r="H369" i="279"/>
  <c r="H363" i="279"/>
  <c r="H365" i="279" s="1"/>
  <c r="H356" i="279"/>
  <c r="O356" i="279"/>
  <c r="O352" i="279"/>
  <c r="J385" i="279"/>
  <c r="J387" i="279" s="1"/>
  <c r="J381" i="279"/>
  <c r="M352" i="279"/>
  <c r="M356" i="279"/>
  <c r="M311" i="279"/>
  <c r="M303" i="279"/>
  <c r="L311" i="279"/>
  <c r="L303" i="279"/>
  <c r="J311" i="279"/>
  <c r="J303" i="279"/>
  <c r="K356" i="279"/>
  <c r="K352" i="279"/>
  <c r="K343" i="279"/>
  <c r="N311" i="279"/>
  <c r="N303" i="279"/>
  <c r="G343" i="279"/>
  <c r="H105" i="278"/>
  <c r="H123" i="278"/>
  <c r="H125" i="278" s="1"/>
  <c r="J123" i="278"/>
  <c r="J125" i="278" s="1"/>
  <c r="J105" i="278"/>
  <c r="J92" i="278"/>
  <c r="J82" i="278"/>
  <c r="P105" i="278"/>
  <c r="P123" i="278"/>
  <c r="P125" i="278" s="1"/>
  <c r="I82" i="278"/>
  <c r="I92" i="278"/>
  <c r="L92" i="278"/>
  <c r="L82" i="278"/>
  <c r="N123" i="278"/>
  <c r="N125" i="278" s="1"/>
  <c r="N105" i="278"/>
  <c r="K123" i="278"/>
  <c r="K105" i="278"/>
  <c r="O105" i="278"/>
  <c r="O123" i="278"/>
  <c r="O125" i="278" s="1"/>
  <c r="L105" i="278"/>
  <c r="L123" i="278"/>
  <c r="L125" i="278" s="1"/>
  <c r="K92" i="278"/>
  <c r="K82" i="278"/>
  <c r="I123" i="278"/>
  <c r="I125" i="278" s="1"/>
  <c r="I105" i="278"/>
  <c r="M105" i="278"/>
  <c r="M123" i="278"/>
  <c r="M125" i="278" s="1"/>
  <c r="J112" i="278"/>
  <c r="J116" i="278"/>
  <c r="J109" i="278"/>
  <c r="J129" i="278"/>
  <c r="J131" i="278" s="1"/>
  <c r="J120" i="278"/>
  <c r="J122" i="278" s="1"/>
  <c r="G112" i="278"/>
  <c r="G116" i="278"/>
  <c r="J136" i="219"/>
  <c r="J132" i="219"/>
  <c r="H129" i="278"/>
  <c r="H131" i="278" s="1"/>
  <c r="H109" i="278"/>
  <c r="H120" i="278"/>
  <c r="H122" i="278" s="1"/>
  <c r="H112" i="278"/>
  <c r="H116" i="278"/>
  <c r="I132" i="219"/>
  <c r="I136" i="219"/>
  <c r="I129" i="278"/>
  <c r="I131" i="278" s="1"/>
  <c r="I116" i="278"/>
  <c r="I109" i="278"/>
  <c r="I112" i="278"/>
  <c r="I120" i="278"/>
  <c r="I122" i="278" s="1"/>
  <c r="M116" i="278"/>
  <c r="M129" i="278"/>
  <c r="M131" i="278" s="1"/>
  <c r="M120" i="278"/>
  <c r="M122" i="278" s="1"/>
  <c r="M109" i="278"/>
  <c r="M112" i="278"/>
  <c r="O120" i="278"/>
  <c r="O122" i="278" s="1"/>
  <c r="O112" i="278"/>
  <c r="O129" i="278"/>
  <c r="O131" i="278" s="1"/>
  <c r="O109" i="278"/>
  <c r="O116" i="278"/>
  <c r="J112" i="219"/>
  <c r="J109" i="219"/>
  <c r="J107" i="219"/>
  <c r="P129" i="278"/>
  <c r="P131" i="278" s="1"/>
  <c r="P116" i="278"/>
  <c r="P109" i="278"/>
  <c r="P112" i="278"/>
  <c r="P120" i="278"/>
  <c r="P122" i="278" s="1"/>
  <c r="G132" i="219"/>
  <c r="G136" i="219"/>
  <c r="K116" i="278"/>
  <c r="K112" i="278"/>
  <c r="J141" i="278"/>
  <c r="J145" i="278"/>
  <c r="J147" i="278" s="1"/>
  <c r="J91" i="219"/>
  <c r="J93" i="219" s="1"/>
  <c r="J83" i="219"/>
  <c r="J87" i="219"/>
  <c r="I89" i="278"/>
  <c r="I87" i="278"/>
  <c r="N112" i="278"/>
  <c r="N120" i="278"/>
  <c r="N122" i="278" s="1"/>
  <c r="N109" i="278"/>
  <c r="N129" i="278"/>
  <c r="N131" i="278" s="1"/>
  <c r="N116" i="278"/>
  <c r="I67" i="278"/>
  <c r="I63" i="278"/>
  <c r="I71" i="278"/>
  <c r="I73" i="278" s="1"/>
  <c r="J71" i="278"/>
  <c r="J73" i="278" s="1"/>
  <c r="J63" i="278"/>
  <c r="J67" i="278"/>
  <c r="L120" i="278"/>
  <c r="L122" i="278" s="1"/>
  <c r="L129" i="278"/>
  <c r="L131" i="278" s="1"/>
  <c r="L112" i="278"/>
  <c r="L116" i="278"/>
  <c r="L109" i="278"/>
  <c r="J87" i="278"/>
  <c r="J89" i="278"/>
  <c r="P132" i="219"/>
  <c r="K136" i="219"/>
  <c r="K132" i="219"/>
  <c r="N136" i="219"/>
  <c r="N132" i="219"/>
  <c r="O132" i="219"/>
  <c r="O136" i="219"/>
  <c r="M132" i="219"/>
  <c r="L136" i="219"/>
  <c r="P136" i="219"/>
  <c r="L132" i="219"/>
  <c r="M136" i="219"/>
  <c r="N313" i="279" l="1"/>
  <c r="L313" i="279"/>
  <c r="M187" i="278"/>
  <c r="M188" i="278" s="1"/>
  <c r="J187" i="278"/>
  <c r="J188" i="278" s="1"/>
  <c r="K188" i="278"/>
  <c r="I187" i="278"/>
  <c r="I188" i="278" s="1"/>
  <c r="H187" i="278"/>
  <c r="H188" i="278" s="1"/>
  <c r="L187" i="278"/>
  <c r="L188" i="278" s="1"/>
  <c r="G187" i="278"/>
  <c r="G188" i="278" s="1"/>
  <c r="H371" i="279"/>
  <c r="J371" i="279"/>
  <c r="I371" i="279"/>
  <c r="M313" i="279"/>
  <c r="F154" i="272"/>
  <c r="F155" i="272" s="1"/>
  <c r="G154" i="272"/>
  <c r="G155" i="272" s="1"/>
  <c r="M154" i="272"/>
  <c r="M155" i="272" s="1"/>
  <c r="L154" i="272"/>
  <c r="L155" i="272" s="1"/>
  <c r="K154" i="272"/>
  <c r="K155" i="272" s="1"/>
  <c r="J154" i="272"/>
  <c r="J155" i="272" s="1"/>
  <c r="I154" i="272"/>
  <c r="I155" i="272" s="1"/>
  <c r="H154" i="272"/>
  <c r="H155" i="272" s="1"/>
  <c r="H313" i="279"/>
  <c r="O313" i="279"/>
  <c r="K313" i="279"/>
  <c r="P313" i="279"/>
  <c r="I313" i="279"/>
  <c r="J313" i="279"/>
  <c r="G313" i="279"/>
  <c r="K172" i="224"/>
  <c r="K173" i="224" s="1"/>
  <c r="J172" i="224"/>
  <c r="J173" i="224" s="1"/>
  <c r="I172" i="224"/>
  <c r="I173" i="224" s="1"/>
  <c r="G172" i="224"/>
  <c r="G173" i="224" s="1"/>
  <c r="P172" i="224"/>
  <c r="P173" i="224" s="1"/>
  <c r="H172" i="224"/>
  <c r="H173" i="224" s="1"/>
  <c r="O172" i="224"/>
  <c r="O173" i="224" s="1"/>
  <c r="N172" i="224"/>
  <c r="N173" i="224" s="1"/>
  <c r="L172" i="224"/>
  <c r="L173" i="224" s="1"/>
  <c r="M172" i="224"/>
  <c r="M173" i="224" s="1"/>
  <c r="H169" i="273"/>
  <c r="H170" i="273" s="1"/>
  <c r="N37" i="228"/>
  <c r="N38" i="228" s="1"/>
  <c r="P37" i="228"/>
  <c r="P38" i="228" s="1"/>
  <c r="O37" i="228"/>
  <c r="O38" i="228" s="1"/>
  <c r="Q37" i="228"/>
  <c r="Q38" i="228" s="1"/>
  <c r="J37" i="228"/>
  <c r="J38" i="228" s="1"/>
  <c r="L37" i="228"/>
  <c r="L38" i="228" s="1"/>
  <c r="K37" i="228"/>
  <c r="K38" i="228" s="1"/>
  <c r="M37" i="228"/>
  <c r="M38" i="228" s="1"/>
  <c r="N196" i="279"/>
  <c r="N197" i="279" s="1"/>
  <c r="O196" i="279"/>
  <c r="O197" i="279" s="1"/>
  <c r="M196" i="279"/>
  <c r="M197" i="279" s="1"/>
  <c r="L196" i="279"/>
  <c r="L197" i="279" s="1"/>
  <c r="G196" i="279"/>
  <c r="G197" i="279" s="1"/>
  <c r="K196" i="279"/>
  <c r="K197" i="279" s="1"/>
  <c r="J196" i="279"/>
  <c r="J197" i="279" s="1"/>
  <c r="I196" i="279"/>
  <c r="I197" i="279" s="1"/>
  <c r="P196" i="279"/>
  <c r="P197" i="279" s="1"/>
  <c r="H196" i="279"/>
  <c r="H197" i="279" s="1"/>
  <c r="G305" i="279"/>
  <c r="P309" i="279"/>
  <c r="L309" i="279"/>
  <c r="L305" i="279"/>
  <c r="J351" i="279"/>
  <c r="H347" i="279"/>
  <c r="K358" i="279"/>
  <c r="M309" i="279"/>
  <c r="N305" i="279"/>
  <c r="P305" i="279"/>
  <c r="J383" i="279"/>
  <c r="J388" i="279" s="1"/>
  <c r="I309" i="279"/>
  <c r="O309" i="279"/>
  <c r="I305" i="279"/>
  <c r="I351" i="279"/>
  <c r="J331" i="279"/>
  <c r="H305" i="279"/>
  <c r="J309" i="279"/>
  <c r="J347" i="279"/>
  <c r="G309" i="279"/>
  <c r="L354" i="279"/>
  <c r="L343" i="279"/>
  <c r="L358" i="279" s="1"/>
  <c r="O305" i="279"/>
  <c r="I343" i="279"/>
  <c r="I358" i="279" s="1"/>
  <c r="I354" i="279"/>
  <c r="J334" i="279"/>
  <c r="N354" i="279"/>
  <c r="N343" i="279"/>
  <c r="N358" i="279" s="1"/>
  <c r="M343" i="279"/>
  <c r="M358" i="279" s="1"/>
  <c r="M354" i="279"/>
  <c r="J343" i="279"/>
  <c r="J358" i="279" s="1"/>
  <c r="J354" i="279"/>
  <c r="P343" i="279"/>
  <c r="P358" i="279" s="1"/>
  <c r="P354" i="279"/>
  <c r="K354" i="279"/>
  <c r="K305" i="279"/>
  <c r="H351" i="279"/>
  <c r="I347" i="279"/>
  <c r="N309" i="279"/>
  <c r="J305" i="279"/>
  <c r="M305" i="279"/>
  <c r="O343" i="279"/>
  <c r="O358" i="279" s="1"/>
  <c r="O354" i="279"/>
  <c r="H354" i="279"/>
  <c r="H343" i="279"/>
  <c r="H358" i="279" s="1"/>
  <c r="K309" i="279"/>
  <c r="J324" i="279"/>
  <c r="H309" i="279"/>
  <c r="L446" i="279"/>
  <c r="L447" i="279" s="1"/>
  <c r="K446" i="279"/>
  <c r="K447" i="279" s="1"/>
  <c r="J446" i="279"/>
  <c r="J447" i="279" s="1"/>
  <c r="I446" i="279"/>
  <c r="I447" i="279" s="1"/>
  <c r="P446" i="279"/>
  <c r="P447" i="279" s="1"/>
  <c r="H446" i="279"/>
  <c r="H447" i="279" s="1"/>
  <c r="O446" i="279"/>
  <c r="O447" i="279" s="1"/>
  <c r="G446" i="279"/>
  <c r="G447" i="279" s="1"/>
  <c r="N446" i="279"/>
  <c r="N447" i="279" s="1"/>
  <c r="M446" i="279"/>
  <c r="M447" i="279" s="1"/>
  <c r="I111" i="278"/>
  <c r="M107" i="278"/>
  <c r="I107" i="278"/>
  <c r="P107" i="278"/>
  <c r="J91" i="278"/>
  <c r="H107" i="278"/>
  <c r="I84" i="278"/>
  <c r="I65" i="278"/>
  <c r="I91" i="278"/>
  <c r="I94" i="278"/>
  <c r="J65" i="278"/>
  <c r="J94" i="278"/>
  <c r="J111" i="278"/>
  <c r="L111" i="278"/>
  <c r="J69" i="278"/>
  <c r="O107" i="278"/>
  <c r="M111" i="278"/>
  <c r="J84" i="278"/>
  <c r="N111" i="278"/>
  <c r="J89" i="219"/>
  <c r="G123" i="219"/>
  <c r="G138" i="219" s="1"/>
  <c r="G134" i="219"/>
  <c r="J111" i="219"/>
  <c r="O114" i="278"/>
  <c r="O103" i="278"/>
  <c r="O118" i="278" s="1"/>
  <c r="I123" i="219"/>
  <c r="I138" i="219" s="1"/>
  <c r="I134" i="219"/>
  <c r="J85" i="219"/>
  <c r="J104" i="219"/>
  <c r="H103" i="278"/>
  <c r="H118" i="278" s="1"/>
  <c r="H114" i="278"/>
  <c r="J103" i="278"/>
  <c r="J118" i="278" s="1"/>
  <c r="J114" i="278"/>
  <c r="J114" i="219"/>
  <c r="H111" i="278"/>
  <c r="I69" i="278"/>
  <c r="N107" i="278"/>
  <c r="J143" i="278"/>
  <c r="J148" i="278" s="1"/>
  <c r="P111" i="278"/>
  <c r="N103" i="278"/>
  <c r="N118" i="278" s="1"/>
  <c r="N114" i="278"/>
  <c r="K103" i="278"/>
  <c r="K118" i="278" s="1"/>
  <c r="K114" i="278"/>
  <c r="P103" i="278"/>
  <c r="P118" i="278" s="1"/>
  <c r="P114" i="278"/>
  <c r="L114" i="278"/>
  <c r="L103" i="278"/>
  <c r="L118" i="278" s="1"/>
  <c r="J123" i="219"/>
  <c r="J138" i="219" s="1"/>
  <c r="J134" i="219"/>
  <c r="J107" i="278"/>
  <c r="L107" i="278"/>
  <c r="H123" i="219"/>
  <c r="O111" i="278"/>
  <c r="M114" i="278"/>
  <c r="M103" i="278"/>
  <c r="M118" i="278" s="1"/>
  <c r="I103" i="278"/>
  <c r="I118" i="278" s="1"/>
  <c r="I114" i="278"/>
  <c r="G114" i="278"/>
  <c r="G103" i="278"/>
  <c r="G118" i="278" s="1"/>
  <c r="L206" i="278"/>
  <c r="L207" i="278" s="1"/>
  <c r="K206" i="278"/>
  <c r="K207" i="278" s="1"/>
  <c r="J206" i="278"/>
  <c r="J207" i="278" s="1"/>
  <c r="I206" i="278"/>
  <c r="I207" i="278" s="1"/>
  <c r="P206" i="278"/>
  <c r="P207" i="278" s="1"/>
  <c r="H206" i="278"/>
  <c r="H207" i="278" s="1"/>
  <c r="N206" i="278"/>
  <c r="N207" i="278" s="1"/>
  <c r="M206" i="278"/>
  <c r="M207" i="278" s="1"/>
  <c r="O206" i="278"/>
  <c r="O207" i="278" s="1"/>
  <c r="G206" i="278"/>
  <c r="G207" i="278" s="1"/>
  <c r="M163" i="220"/>
  <c r="M164" i="220" s="1"/>
  <c r="H237" i="219"/>
  <c r="H238" i="219" s="1"/>
  <c r="N163" i="220"/>
  <c r="N164" i="220" s="1"/>
  <c r="I237" i="219"/>
  <c r="I238" i="219" s="1"/>
  <c r="O163" i="220"/>
  <c r="O164" i="220" s="1"/>
  <c r="J237" i="219"/>
  <c r="J238" i="219" s="1"/>
  <c r="H163" i="220"/>
  <c r="H164" i="220" s="1"/>
  <c r="I163" i="220"/>
  <c r="I164" i="220" s="1"/>
  <c r="J163" i="220"/>
  <c r="J164" i="220" s="1"/>
  <c r="K163" i="220"/>
  <c r="K164" i="220" s="1"/>
  <c r="L163" i="220"/>
  <c r="L164" i="220" s="1"/>
  <c r="G237" i="219"/>
  <c r="G238" i="219" s="1"/>
  <c r="H360" i="224"/>
  <c r="H361" i="224" s="1"/>
  <c r="I360" i="224"/>
  <c r="I361" i="224" s="1"/>
  <c r="G360" i="224"/>
  <c r="G361" i="224" s="1"/>
  <c r="I164" i="275"/>
  <c r="I165" i="275" s="1"/>
  <c r="P164" i="275"/>
  <c r="P165" i="275" s="1"/>
  <c r="H164" i="275"/>
  <c r="H165" i="275" s="1"/>
  <c r="O164" i="275"/>
  <c r="O165" i="275" s="1"/>
  <c r="G164" i="275"/>
  <c r="G165" i="275" s="1"/>
  <c r="N164" i="275"/>
  <c r="N165" i="275" s="1"/>
  <c r="M164" i="275"/>
  <c r="M165" i="275" s="1"/>
  <c r="L164" i="275"/>
  <c r="L165" i="275" s="1"/>
  <c r="K164" i="275"/>
  <c r="K165" i="275" s="1"/>
  <c r="J164" i="275"/>
  <c r="J165" i="275" s="1"/>
  <c r="J169" i="273"/>
  <c r="J170" i="273" s="1"/>
  <c r="Q169" i="273"/>
  <c r="Q170" i="273" s="1"/>
  <c r="I169" i="273"/>
  <c r="I170" i="273" s="1"/>
  <c r="P169" i="273"/>
  <c r="P170" i="273" s="1"/>
  <c r="N169" i="273"/>
  <c r="N170" i="273" s="1"/>
  <c r="M169" i="273"/>
  <c r="M170" i="273" s="1"/>
  <c r="O169" i="273"/>
  <c r="O170" i="273" s="1"/>
  <c r="L169" i="273"/>
  <c r="L170" i="273" s="1"/>
  <c r="K169" i="273"/>
  <c r="K170" i="273" s="1"/>
  <c r="J360" i="224"/>
  <c r="J361" i="224" s="1"/>
  <c r="K360" i="224"/>
  <c r="K361" i="224" s="1"/>
  <c r="L360" i="224"/>
  <c r="L361" i="224" s="1"/>
  <c r="M360" i="224"/>
  <c r="M361" i="224" s="1"/>
  <c r="N360" i="224"/>
  <c r="N361" i="224" s="1"/>
  <c r="P360" i="224"/>
  <c r="P361" i="224" s="1"/>
  <c r="O360" i="224"/>
  <c r="O361" i="224" s="1"/>
  <c r="G37" i="228"/>
  <c r="H37" i="228"/>
  <c r="I37" i="228"/>
  <c r="F37" i="228"/>
  <c r="G163" i="220"/>
  <c r="F163" i="220"/>
  <c r="P237" i="219"/>
  <c r="O237" i="219"/>
  <c r="N237" i="219"/>
  <c r="M237" i="219"/>
  <c r="K237" i="219"/>
  <c r="L237" i="219"/>
  <c r="G314" i="279" l="1"/>
  <c r="I314" i="279"/>
  <c r="O314" i="279"/>
  <c r="M314" i="279"/>
  <c r="L314" i="279"/>
  <c r="P314" i="279"/>
  <c r="N314" i="279"/>
  <c r="H314" i="279"/>
  <c r="J335" i="279"/>
  <c r="K314" i="279"/>
  <c r="J314" i="279"/>
  <c r="J74" i="278"/>
  <c r="I74" i="278"/>
  <c r="I95" i="278"/>
  <c r="J95" i="278"/>
  <c r="J115" i="219"/>
  <c r="J94" i="219"/>
  <c r="B56" i="251" l="1"/>
  <c r="N256" i="224" l="1"/>
  <c r="N334" i="224"/>
  <c r="N341" i="224" s="1"/>
  <c r="N343" i="224" s="1"/>
  <c r="N245" i="224"/>
  <c r="O245" i="224"/>
  <c r="O256" i="224"/>
  <c r="O334" i="224"/>
  <c r="O341" i="224" s="1"/>
  <c r="O343" i="224" s="1"/>
  <c r="M334" i="224"/>
  <c r="M341" i="224" s="1"/>
  <c r="M343" i="224" s="1"/>
  <c r="M245" i="224"/>
  <c r="M256" i="224"/>
  <c r="P256" i="224"/>
  <c r="P245" i="224"/>
  <c r="P334" i="224"/>
  <c r="P341" i="224" s="1"/>
  <c r="P343" i="224" s="1"/>
  <c r="B13" i="258" l="1"/>
  <c r="B34" i="251" l="1"/>
  <c r="B17" i="258" s="1"/>
  <c r="B37" i="251"/>
  <c r="B14" i="258" s="1"/>
  <c r="B35" i="251"/>
  <c r="B12" i="258" s="1"/>
  <c r="B32" i="251"/>
  <c r="B10" i="258" s="1"/>
  <c r="B38" i="251"/>
  <c r="B15" i="258" s="1"/>
  <c r="D22" i="258"/>
  <c r="D19" i="258"/>
  <c r="B21" i="258"/>
  <c r="B43" i="251"/>
  <c r="B39" i="251"/>
  <c r="B16" i="258" s="1"/>
  <c r="B40" i="251"/>
  <c r="B18" i="258" s="1"/>
  <c r="D24" i="258" l="1"/>
  <c r="O199" i="219" l="1"/>
  <c r="P199" i="219"/>
  <c r="N199" i="219"/>
  <c r="P116" i="219"/>
  <c r="P118" i="219" s="1"/>
  <c r="P122" i="219" s="1"/>
  <c r="P281" i="219"/>
  <c r="P283" i="219" s="1"/>
  <c r="P285" i="219" s="1"/>
  <c r="P95" i="219"/>
  <c r="P97" i="219" s="1"/>
  <c r="P101" i="219" s="1"/>
  <c r="P76" i="219"/>
  <c r="P78" i="219" s="1"/>
  <c r="P82" i="219" s="1"/>
  <c r="P177" i="219"/>
  <c r="P183" i="219"/>
  <c r="P155" i="219"/>
  <c r="P159" i="219" s="1"/>
  <c r="P171" i="219"/>
  <c r="O281" i="219"/>
  <c r="O283" i="219" s="1"/>
  <c r="O285" i="219" s="1"/>
  <c r="O95" i="219"/>
  <c r="O97" i="219" s="1"/>
  <c r="O101" i="219" s="1"/>
  <c r="O76" i="219"/>
  <c r="O78" i="219" s="1"/>
  <c r="O82" i="219" s="1"/>
  <c r="O177" i="219"/>
  <c r="O183" i="219"/>
  <c r="O155" i="219"/>
  <c r="O159" i="219" s="1"/>
  <c r="O171" i="219"/>
  <c r="O116" i="219"/>
  <c r="O118" i="219" s="1"/>
  <c r="O122" i="219" s="1"/>
  <c r="N95" i="219"/>
  <c r="N97" i="219" s="1"/>
  <c r="N101" i="219" s="1"/>
  <c r="N76" i="219"/>
  <c r="N78" i="219" s="1"/>
  <c r="N82" i="219" s="1"/>
  <c r="N177" i="219"/>
  <c r="N183" i="219"/>
  <c r="N155" i="219"/>
  <c r="N159" i="219" s="1"/>
  <c r="N171" i="219"/>
  <c r="N116" i="219"/>
  <c r="N118" i="219" s="1"/>
  <c r="N122" i="219" s="1"/>
  <c r="N281" i="219"/>
  <c r="N283" i="219" s="1"/>
  <c r="N285" i="219" s="1"/>
  <c r="O201" i="219" l="1"/>
  <c r="N201" i="219"/>
  <c r="P201" i="219"/>
  <c r="O213" i="219"/>
  <c r="O217" i="219" s="1"/>
  <c r="O235" i="219"/>
  <c r="P235" i="219"/>
  <c r="P238" i="219" s="1"/>
  <c r="P213" i="219"/>
  <c r="P217" i="219" s="1"/>
  <c r="N235" i="219"/>
  <c r="N213" i="219"/>
  <c r="N217" i="219" s="1"/>
  <c r="C4" i="242"/>
  <c r="N219" i="219" l="1"/>
  <c r="P219" i="219"/>
  <c r="O219" i="219"/>
  <c r="N123" i="219"/>
  <c r="N138" i="219" s="1"/>
  <c r="N134" i="219"/>
  <c r="O123" i="219"/>
  <c r="O138" i="219" s="1"/>
  <c r="O134" i="219"/>
  <c r="P123" i="219"/>
  <c r="P138" i="219" s="1"/>
  <c r="P134" i="219"/>
  <c r="B3" i="228"/>
  <c r="C3" i="224"/>
  <c r="C3" i="219"/>
  <c r="B3" i="220"/>
  <c r="N4" i="204" l="1"/>
  <c r="L203" i="224" l="1"/>
  <c r="L205" i="224" s="1"/>
  <c r="N76" i="228"/>
  <c r="N78" i="228" s="1"/>
  <c r="H57" i="273"/>
  <c r="H60" i="273" s="1"/>
  <c r="H162" i="224"/>
  <c r="G85" i="250"/>
  <c r="G86" i="250"/>
  <c r="G87" i="250"/>
  <c r="G84" i="250"/>
  <c r="G92" i="250" l="1"/>
  <c r="P384" i="224"/>
  <c r="P389" i="224" s="1"/>
  <c r="P184" i="275"/>
  <c r="P189" i="275" s="1"/>
  <c r="P254" i="219"/>
  <c r="P259" i="219" s="1"/>
  <c r="Q186" i="273"/>
  <c r="Q191" i="273" s="1"/>
  <c r="P223" i="278"/>
  <c r="P228" i="278" s="1"/>
  <c r="O191" i="220"/>
  <c r="O196" i="220" s="1"/>
  <c r="P462" i="279"/>
  <c r="P467" i="279" s="1"/>
  <c r="O184" i="275"/>
  <c r="O189" i="275" s="1"/>
  <c r="O223" i="278"/>
  <c r="O228" i="278" s="1"/>
  <c r="O254" i="219"/>
  <c r="O259" i="219" s="1"/>
  <c r="N191" i="220"/>
  <c r="N196" i="220" s="1"/>
  <c r="O384" i="224"/>
  <c r="O389" i="224" s="1"/>
  <c r="O462" i="279"/>
  <c r="O467" i="279" s="1"/>
  <c r="P186" i="273"/>
  <c r="P191" i="273" s="1"/>
  <c r="P27" i="219"/>
  <c r="P29" i="219" s="1"/>
  <c r="H27" i="219"/>
  <c r="H29" i="219" s="1"/>
  <c r="I27" i="219"/>
  <c r="I29" i="219" s="1"/>
  <c r="J27" i="219"/>
  <c r="J29" i="219" s="1"/>
  <c r="K27" i="219"/>
  <c r="K29" i="219" s="1"/>
  <c r="M27" i="219"/>
  <c r="M29" i="219" s="1"/>
  <c r="O27" i="219"/>
  <c r="O29" i="219" s="1"/>
  <c r="L27" i="219"/>
  <c r="L29" i="219" s="1"/>
  <c r="N27" i="219"/>
  <c r="N29" i="219" s="1"/>
  <c r="H132" i="219"/>
  <c r="H134" i="219" s="1"/>
  <c r="G352" i="279"/>
  <c r="G354" i="279" s="1"/>
  <c r="M184" i="275"/>
  <c r="M189" i="275" s="1"/>
  <c r="L191" i="220"/>
  <c r="L196" i="220" s="1"/>
  <c r="M254" i="219"/>
  <c r="M259" i="219" s="1"/>
  <c r="N186" i="273"/>
  <c r="N191" i="273" s="1"/>
  <c r="M462" i="279"/>
  <c r="M467" i="279" s="1"/>
  <c r="M223" i="278"/>
  <c r="M228" i="278" s="1"/>
  <c r="M384" i="224"/>
  <c r="M389" i="224" s="1"/>
  <c r="J203" i="224"/>
  <c r="J205" i="224" s="1"/>
  <c r="N184" i="275"/>
  <c r="N189" i="275" s="1"/>
  <c r="M191" i="220"/>
  <c r="M196" i="220" s="1"/>
  <c r="N462" i="279"/>
  <c r="N467" i="279" s="1"/>
  <c r="N384" i="224"/>
  <c r="N389" i="224" s="1"/>
  <c r="O186" i="273"/>
  <c r="O191" i="273" s="1"/>
  <c r="N223" i="278"/>
  <c r="N228" i="278" s="1"/>
  <c r="N254" i="219"/>
  <c r="N259" i="219" s="1"/>
  <c r="G220" i="275"/>
  <c r="G222" i="275" s="1"/>
  <c r="H220" i="275"/>
  <c r="H222" i="275" s="1"/>
  <c r="I220" i="275"/>
  <c r="I222" i="275" s="1"/>
  <c r="J220" i="275"/>
  <c r="J222" i="275" s="1"/>
  <c r="K220" i="275"/>
  <c r="K222" i="275" s="1"/>
  <c r="L220" i="275"/>
  <c r="L222" i="275" s="1"/>
  <c r="M220" i="275"/>
  <c r="M222" i="275" s="1"/>
  <c r="N220" i="275"/>
  <c r="N222" i="275" s="1"/>
  <c r="O220" i="275"/>
  <c r="O222" i="275" s="1"/>
  <c r="P220" i="275"/>
  <c r="P222" i="275" s="1"/>
  <c r="L254" i="219"/>
  <c r="L259" i="219" s="1"/>
  <c r="L384" i="224"/>
  <c r="L389" i="224" s="1"/>
  <c r="L184" i="275"/>
  <c r="L189" i="275" s="1"/>
  <c r="L462" i="279"/>
  <c r="L467" i="279" s="1"/>
  <c r="M186" i="273"/>
  <c r="M191" i="273" s="1"/>
  <c r="K191" i="220"/>
  <c r="K196" i="220" s="1"/>
  <c r="L223" i="278"/>
  <c r="L228" i="278" s="1"/>
  <c r="G384" i="224"/>
  <c r="G389" i="224" s="1"/>
  <c r="F183" i="272"/>
  <c r="H184" i="275"/>
  <c r="H189" i="275" s="1"/>
  <c r="H462" i="279"/>
  <c r="H467" i="279" s="1"/>
  <c r="F191" i="220"/>
  <c r="H186" i="273"/>
  <c r="H191" i="273" s="1"/>
  <c r="H384" i="224"/>
  <c r="H389" i="224" s="1"/>
  <c r="G184" i="275"/>
  <c r="G189" i="275" s="1"/>
  <c r="H223" i="278"/>
  <c r="H228" i="278" s="1"/>
  <c r="G223" i="278"/>
  <c r="G228" i="278" s="1"/>
  <c r="G462" i="279"/>
  <c r="G467" i="279" s="1"/>
  <c r="G191" i="220"/>
  <c r="I186" i="273"/>
  <c r="I191" i="273" s="1"/>
  <c r="G254" i="219"/>
  <c r="G259" i="219" s="1"/>
  <c r="H254" i="219"/>
  <c r="H259" i="219" s="1"/>
  <c r="J191" i="220"/>
  <c r="J196" i="220" s="1"/>
  <c r="K384" i="224"/>
  <c r="K389" i="224" s="1"/>
  <c r="K254" i="219"/>
  <c r="K259" i="219" s="1"/>
  <c r="K462" i="279"/>
  <c r="K467" i="279" s="1"/>
  <c r="K184" i="275"/>
  <c r="K189" i="275" s="1"/>
  <c r="L186" i="273"/>
  <c r="L191" i="273" s="1"/>
  <c r="K223" i="278"/>
  <c r="K228" i="278" s="1"/>
  <c r="H203" i="224"/>
  <c r="H205" i="224" s="1"/>
  <c r="K24" i="272"/>
  <c r="K26" i="272" s="1"/>
  <c r="L24" i="272"/>
  <c r="L26" i="272" s="1"/>
  <c r="K74" i="272"/>
  <c r="K76" i="272" s="1"/>
  <c r="L74" i="272"/>
  <c r="L76" i="272" s="1"/>
  <c r="I74" i="272"/>
  <c r="I76" i="272" s="1"/>
  <c r="I24" i="272"/>
  <c r="I26" i="272" s="1"/>
  <c r="J24" i="272"/>
  <c r="J26" i="272" s="1"/>
  <c r="J74" i="272"/>
  <c r="J76" i="272" s="1"/>
  <c r="G203" i="224"/>
  <c r="K88" i="272"/>
  <c r="K90" i="272" s="1"/>
  <c r="I88" i="272"/>
  <c r="I90" i="272" s="1"/>
  <c r="L88" i="272"/>
  <c r="L90" i="272" s="1"/>
  <c r="J88" i="272"/>
  <c r="J90" i="272" s="1"/>
  <c r="P55" i="275"/>
  <c r="P57" i="275" s="1"/>
  <c r="N208" i="224"/>
  <c r="N210" i="224" s="1"/>
  <c r="O208" i="224"/>
  <c r="O210" i="224" s="1"/>
  <c r="J208" i="224"/>
  <c r="J210" i="224" s="1"/>
  <c r="P208" i="224"/>
  <c r="P210" i="224" s="1"/>
  <c r="K208" i="224"/>
  <c r="K210" i="224" s="1"/>
  <c r="L76" i="228"/>
  <c r="L78" i="228" s="1"/>
  <c r="N203" i="224"/>
  <c r="N205" i="224" s="1"/>
  <c r="J76" i="228"/>
  <c r="J78" i="228" s="1"/>
  <c r="K203" i="224"/>
  <c r="K205" i="224" s="1"/>
  <c r="M76" i="228"/>
  <c r="M78" i="228" s="1"/>
  <c r="O203" i="224"/>
  <c r="O205" i="224" s="1"/>
  <c r="G27" i="219"/>
  <c r="G29" i="219" s="1"/>
  <c r="I208" i="224"/>
  <c r="I210" i="224" s="1"/>
  <c r="G208" i="224"/>
  <c r="H208" i="224"/>
  <c r="H210" i="224" s="1"/>
  <c r="K241" i="220"/>
  <c r="K243" i="220" s="1"/>
  <c r="M208" i="224"/>
  <c r="M210" i="224" s="1"/>
  <c r="L208" i="224"/>
  <c r="L210" i="224" s="1"/>
  <c r="K76" i="228"/>
  <c r="K78" i="228" s="1"/>
  <c r="M203" i="224"/>
  <c r="M205" i="224" s="1"/>
  <c r="J55" i="275"/>
  <c r="J57" i="275" s="1"/>
  <c r="M241" i="220"/>
  <c r="M243" i="220" s="1"/>
  <c r="O242" i="279"/>
  <c r="O244" i="279" s="1"/>
  <c r="J241" i="220"/>
  <c r="J243" i="220" s="1"/>
  <c r="L242" i="279"/>
  <c r="L244" i="279" s="1"/>
  <c r="M242" i="279"/>
  <c r="M244" i="279" s="1"/>
  <c r="I241" i="220"/>
  <c r="I243" i="220" s="1"/>
  <c r="O55" i="275"/>
  <c r="O57" i="275" s="1"/>
  <c r="N55" i="275"/>
  <c r="N57" i="275" s="1"/>
  <c r="N81" i="228"/>
  <c r="N83" i="228" s="1"/>
  <c r="O81" i="228"/>
  <c r="O83" i="228" s="1"/>
  <c r="P81" i="228"/>
  <c r="P83" i="228" s="1"/>
  <c r="Q81" i="228"/>
  <c r="Q83" i="228" s="1"/>
  <c r="J81" i="228"/>
  <c r="J83" i="228" s="1"/>
  <c r="M81" i="228"/>
  <c r="M83" i="228" s="1"/>
  <c r="K81" i="228"/>
  <c r="K83" i="228" s="1"/>
  <c r="L81" i="228"/>
  <c r="L83" i="228" s="1"/>
  <c r="N241" i="220"/>
  <c r="N243" i="220" s="1"/>
  <c r="O241" i="220"/>
  <c r="O243" i="220" s="1"/>
  <c r="J242" i="279"/>
  <c r="J244" i="279" s="1"/>
  <c r="N242" i="279"/>
  <c r="N244" i="279" s="1"/>
  <c r="H138" i="273"/>
  <c r="H140" i="273" s="1"/>
  <c r="I81" i="228"/>
  <c r="I83" i="228" s="1"/>
  <c r="K55" i="275"/>
  <c r="K57" i="275" s="1"/>
  <c r="L55" i="275"/>
  <c r="L57" i="275" s="1"/>
  <c r="L241" i="220"/>
  <c r="L243" i="220" s="1"/>
  <c r="P76" i="228"/>
  <c r="P78" i="228" s="1"/>
  <c r="Q76" i="228"/>
  <c r="Q78" i="228" s="1"/>
  <c r="H186" i="279"/>
  <c r="H188" i="279" s="1"/>
  <c r="I157" i="273"/>
  <c r="I159" i="273" s="1"/>
  <c r="H24" i="272"/>
  <c r="H26" i="272" s="1"/>
  <c r="G24" i="272"/>
  <c r="G26" i="272" s="1"/>
  <c r="M24" i="272"/>
  <c r="M26" i="272" s="1"/>
  <c r="F74" i="272"/>
  <c r="F76" i="272" s="1"/>
  <c r="F24" i="272"/>
  <c r="F26" i="272" s="1"/>
  <c r="G74" i="272"/>
  <c r="G76" i="272" s="1"/>
  <c r="H74" i="272"/>
  <c r="H76" i="272" s="1"/>
  <c r="M74" i="272"/>
  <c r="M76" i="272" s="1"/>
  <c r="K242" i="279"/>
  <c r="K244" i="279" s="1"/>
  <c r="M55" i="275"/>
  <c r="M57" i="275" s="1"/>
  <c r="P242" i="279"/>
  <c r="P244" i="279" s="1"/>
  <c r="M50" i="275"/>
  <c r="M52" i="275" s="1"/>
  <c r="M237" i="279"/>
  <c r="M239" i="279" s="1"/>
  <c r="L236" i="220"/>
  <c r="L238" i="220" s="1"/>
  <c r="N50" i="275"/>
  <c r="N52" i="275" s="1"/>
  <c r="N237" i="279"/>
  <c r="N239" i="279" s="1"/>
  <c r="M236" i="220"/>
  <c r="M238" i="220" s="1"/>
  <c r="N57" i="273"/>
  <c r="N60" i="273" s="1"/>
  <c r="O57" i="273"/>
  <c r="O60" i="273" s="1"/>
  <c r="P57" i="273"/>
  <c r="P60" i="273" s="1"/>
  <c r="I57" i="273"/>
  <c r="I60" i="273" s="1"/>
  <c r="Q57" i="273"/>
  <c r="Q60" i="273" s="1"/>
  <c r="L57" i="273"/>
  <c r="L60" i="273" s="1"/>
  <c r="M57" i="273"/>
  <c r="M60" i="273" s="1"/>
  <c r="J57" i="273"/>
  <c r="J60" i="273" s="1"/>
  <c r="K57" i="273"/>
  <c r="K60" i="273" s="1"/>
  <c r="N82" i="220"/>
  <c r="N84" i="220" s="1"/>
  <c r="G82" i="220"/>
  <c r="O82" i="220"/>
  <c r="O84" i="220" s="1"/>
  <c r="I82" i="220"/>
  <c r="I84" i="220" s="1"/>
  <c r="M82" i="220"/>
  <c r="M84" i="220" s="1"/>
  <c r="H82" i="220"/>
  <c r="H84" i="220" s="1"/>
  <c r="F82" i="220"/>
  <c r="J82" i="220"/>
  <c r="J84" i="220" s="1"/>
  <c r="L82" i="220"/>
  <c r="L84" i="220" s="1"/>
  <c r="K82" i="220"/>
  <c r="K84" i="220" s="1"/>
  <c r="G258" i="278"/>
  <c r="L237" i="279"/>
  <c r="L239" i="279" s="1"/>
  <c r="L50" i="275"/>
  <c r="L52" i="275" s="1"/>
  <c r="K236" i="220"/>
  <c r="K238" i="220" s="1"/>
  <c r="H55" i="275"/>
  <c r="H57" i="275" s="1"/>
  <c r="H81" i="228"/>
  <c r="H83" i="228" s="1"/>
  <c r="I242" i="279"/>
  <c r="I244" i="279" s="1"/>
  <c r="H241" i="220"/>
  <c r="H243" i="220" s="1"/>
  <c r="G55" i="275"/>
  <c r="G57" i="275" s="1"/>
  <c r="G81" i="228"/>
  <c r="G83" i="228" s="1"/>
  <c r="H242" i="279"/>
  <c r="H244" i="279" s="1"/>
  <c r="I55" i="275"/>
  <c r="I57" i="275" s="1"/>
  <c r="F81" i="228"/>
  <c r="F83" i="228" s="1"/>
  <c r="G242" i="279"/>
  <c r="G244" i="279" s="1"/>
  <c r="G241" i="220"/>
  <c r="G243" i="220" s="1"/>
  <c r="F241" i="220"/>
  <c r="F243" i="220" s="1"/>
  <c r="O237" i="279"/>
  <c r="O239" i="279" s="1"/>
  <c r="N236" i="220"/>
  <c r="N238" i="220" s="1"/>
  <c r="O50" i="275"/>
  <c r="O52" i="275" s="1"/>
  <c r="F76" i="228"/>
  <c r="F78" i="228" s="1"/>
  <c r="G237" i="279"/>
  <c r="G239" i="279" s="1"/>
  <c r="F236" i="220"/>
  <c r="F238" i="220" s="1"/>
  <c r="G236" i="220"/>
  <c r="G238" i="220" s="1"/>
  <c r="G76" i="228"/>
  <c r="G78" i="228" s="1"/>
  <c r="H50" i="275"/>
  <c r="H52" i="275" s="1"/>
  <c r="H237" i="279"/>
  <c r="H239" i="279" s="1"/>
  <c r="K237" i="279"/>
  <c r="K239" i="279" s="1"/>
  <c r="K50" i="275"/>
  <c r="K52" i="275" s="1"/>
  <c r="J236" i="220"/>
  <c r="J238" i="220" s="1"/>
  <c r="L165" i="220"/>
  <c r="K165" i="220"/>
  <c r="H420" i="224"/>
  <c r="H422" i="224" s="1"/>
  <c r="P420" i="224"/>
  <c r="P422" i="224" s="1"/>
  <c r="M420" i="224"/>
  <c r="M422" i="224" s="1"/>
  <c r="O420" i="224"/>
  <c r="O422" i="224" s="1"/>
  <c r="I420" i="224"/>
  <c r="I422" i="224" s="1"/>
  <c r="G420" i="224"/>
  <c r="G422" i="224" s="1"/>
  <c r="J420" i="224"/>
  <c r="J422" i="224" s="1"/>
  <c r="K420" i="224"/>
  <c r="K422" i="224" s="1"/>
  <c r="N420" i="224"/>
  <c r="N422" i="224" s="1"/>
  <c r="L420" i="224"/>
  <c r="L422" i="224" s="1"/>
  <c r="L423" i="224"/>
  <c r="L425" i="224" s="1"/>
  <c r="K423" i="224"/>
  <c r="K425" i="224" s="1"/>
  <c r="N423" i="224"/>
  <c r="N425" i="224" s="1"/>
  <c r="J423" i="224"/>
  <c r="J425" i="224" s="1"/>
  <c r="I423" i="224"/>
  <c r="I425" i="224" s="1"/>
  <c r="M423" i="224"/>
  <c r="M425" i="224" s="1"/>
  <c r="P423" i="224"/>
  <c r="P425" i="224" s="1"/>
  <c r="H423" i="224"/>
  <c r="H425" i="224" s="1"/>
  <c r="O423" i="224"/>
  <c r="O425" i="224" s="1"/>
  <c r="G423" i="224"/>
  <c r="G425" i="224" s="1"/>
  <c r="J138" i="273"/>
  <c r="J140" i="273" s="1"/>
  <c r="Q138" i="273"/>
  <c r="Q140" i="273" s="1"/>
  <c r="I138" i="273"/>
  <c r="I140" i="273" s="1"/>
  <c r="P138" i="273"/>
  <c r="P140" i="273" s="1"/>
  <c r="O138" i="273"/>
  <c r="O140" i="273" s="1"/>
  <c r="N138" i="273"/>
  <c r="N140" i="273" s="1"/>
  <c r="M138" i="273"/>
  <c r="M140" i="273" s="1"/>
  <c r="L138" i="273"/>
  <c r="L140" i="273" s="1"/>
  <c r="K138" i="273"/>
  <c r="K140" i="273" s="1"/>
  <c r="M88" i="272"/>
  <c r="M90" i="272" s="1"/>
  <c r="M38" i="272"/>
  <c r="M40" i="272" s="1"/>
  <c r="H88" i="272"/>
  <c r="H90" i="272" s="1"/>
  <c r="H38" i="272"/>
  <c r="H40" i="272" s="1"/>
  <c r="G88" i="272"/>
  <c r="G90" i="272" s="1"/>
  <c r="G38" i="272"/>
  <c r="G40" i="272" s="1"/>
  <c r="F88" i="272"/>
  <c r="F90" i="272" s="1"/>
  <c r="F38" i="272"/>
  <c r="F40" i="272" s="1"/>
  <c r="I223" i="275"/>
  <c r="I225" i="275" s="1"/>
  <c r="I226" i="275" s="1"/>
  <c r="I227" i="275" s="1"/>
  <c r="I228" i="275" s="1"/>
  <c r="G223" i="275"/>
  <c r="G225" i="275" s="1"/>
  <c r="J223" i="275"/>
  <c r="J225" i="275" s="1"/>
  <c r="K223" i="275"/>
  <c r="K225" i="275" s="1"/>
  <c r="L223" i="275"/>
  <c r="L225" i="275" s="1"/>
  <c r="N223" i="275"/>
  <c r="N225" i="275" s="1"/>
  <c r="M223" i="275"/>
  <c r="M225" i="275" s="1"/>
  <c r="H223" i="275"/>
  <c r="H225" i="275" s="1"/>
  <c r="P223" i="275"/>
  <c r="P225" i="275" s="1"/>
  <c r="O223" i="275"/>
  <c r="O225" i="275" s="1"/>
  <c r="O226" i="275" l="1"/>
  <c r="O227" i="275" s="1"/>
  <c r="O228" i="275" s="1"/>
  <c r="N226" i="275"/>
  <c r="N227" i="275" s="1"/>
  <c r="N228" i="275" s="1"/>
  <c r="P226" i="275"/>
  <c r="P227" i="275" s="1"/>
  <c r="P228" i="275" s="1"/>
  <c r="M226" i="275"/>
  <c r="M227" i="275" s="1"/>
  <c r="M228" i="275" s="1"/>
  <c r="H226" i="275"/>
  <c r="H227" i="275" s="1"/>
  <c r="H228" i="275" s="1"/>
  <c r="L226" i="275"/>
  <c r="L227" i="275" s="1"/>
  <c r="L228" i="275" s="1"/>
  <c r="K226" i="275"/>
  <c r="K227" i="275" s="1"/>
  <c r="K228" i="275" s="1"/>
  <c r="J226" i="275"/>
  <c r="J227" i="275" s="1"/>
  <c r="J228" i="275" s="1"/>
  <c r="G226" i="275"/>
  <c r="G227" i="275" s="1"/>
  <c r="G228" i="275" s="1"/>
  <c r="H289" i="219"/>
  <c r="H291" i="219" s="1"/>
  <c r="I258" i="278"/>
  <c r="I260" i="278" s="1"/>
  <c r="G260" i="278"/>
  <c r="P258" i="278"/>
  <c r="P260" i="278" s="1"/>
  <c r="O258" i="278"/>
  <c r="O260" i="278" s="1"/>
  <c r="H258" i="278"/>
  <c r="H260" i="278" s="1"/>
  <c r="N258" i="278"/>
  <c r="N260" i="278" s="1"/>
  <c r="M258" i="278"/>
  <c r="M260" i="278" s="1"/>
  <c r="J258" i="278"/>
  <c r="J260" i="278" s="1"/>
  <c r="J289" i="219"/>
  <c r="J291" i="219" s="1"/>
  <c r="J497" i="279"/>
  <c r="J499" i="279" s="1"/>
  <c r="P497" i="279"/>
  <c r="P499" i="279" s="1"/>
  <c r="G497" i="279"/>
  <c r="G499" i="279" s="1"/>
  <c r="K497" i="279"/>
  <c r="K499" i="279" s="1"/>
  <c r="L497" i="279"/>
  <c r="L499" i="279" s="1"/>
  <c r="N497" i="279"/>
  <c r="N499" i="279" s="1"/>
  <c r="M497" i="279"/>
  <c r="M499" i="279" s="1"/>
  <c r="O497" i="279"/>
  <c r="O499" i="279" s="1"/>
  <c r="H497" i="279"/>
  <c r="H499" i="279" s="1"/>
  <c r="I497" i="279"/>
  <c r="I499" i="279" s="1"/>
  <c r="P237" i="279"/>
  <c r="P239" i="279" s="1"/>
  <c r="G289" i="219"/>
  <c r="G291" i="219" s="1"/>
  <c r="L289" i="219"/>
  <c r="M289" i="219"/>
  <c r="N289" i="219"/>
  <c r="N291" i="219" s="1"/>
  <c r="O289" i="219"/>
  <c r="O291" i="219" s="1"/>
  <c r="P289" i="219"/>
  <c r="P291" i="219" s="1"/>
  <c r="I289" i="219"/>
  <c r="I291" i="219" s="1"/>
  <c r="K289" i="219"/>
  <c r="M426" i="224"/>
  <c r="M427" i="224" s="1"/>
  <c r="J426" i="224"/>
  <c r="J427" i="224" s="1"/>
  <c r="N426" i="224"/>
  <c r="N427" i="224" s="1"/>
  <c r="H426" i="224"/>
  <c r="H427" i="224" s="1"/>
  <c r="K426" i="224"/>
  <c r="K427" i="224" s="1"/>
  <c r="O426" i="224"/>
  <c r="O427" i="224" s="1"/>
  <c r="G426" i="224"/>
  <c r="G427" i="224" s="1"/>
  <c r="L426" i="224"/>
  <c r="L427" i="224" s="1"/>
  <c r="P426" i="224"/>
  <c r="P427" i="224" s="1"/>
  <c r="I426" i="224"/>
  <c r="I427" i="224" s="1"/>
  <c r="K260" i="278"/>
  <c r="L260" i="278"/>
  <c r="N238" i="219"/>
  <c r="O236" i="220" l="1"/>
  <c r="O238" i="220" s="1"/>
  <c r="P50" i="275"/>
  <c r="P52" i="275" s="1"/>
  <c r="O76" i="228"/>
  <c r="O78" i="228" s="1"/>
  <c r="P203" i="224"/>
  <c r="P205" i="224" s="1"/>
  <c r="I237" i="279"/>
  <c r="I239" i="279" s="1"/>
  <c r="H127" i="273"/>
  <c r="H129" i="273" s="1"/>
  <c r="H273" i="219" l="1"/>
  <c r="H275" i="219" s="1"/>
  <c r="O481" i="279"/>
  <c r="O483" i="279" s="1"/>
  <c r="I403" i="224"/>
  <c r="I405" i="224" s="1"/>
  <c r="M273" i="219"/>
  <c r="M275" i="219" s="1"/>
  <c r="N273" i="219"/>
  <c r="N275" i="219" s="1"/>
  <c r="N210" i="220"/>
  <c r="N212" i="220" s="1"/>
  <c r="L403" i="224"/>
  <c r="L405" i="224" s="1"/>
  <c r="I481" i="279"/>
  <c r="I483" i="279" s="1"/>
  <c r="P273" i="219"/>
  <c r="P275" i="219" s="1"/>
  <c r="J403" i="224"/>
  <c r="J405" i="224" s="1"/>
  <c r="L203" i="275"/>
  <c r="L205" i="275" s="1"/>
  <c r="K203" i="275"/>
  <c r="K205" i="275" s="1"/>
  <c r="K242" i="278"/>
  <c r="K244" i="278" s="1"/>
  <c r="J242" i="278"/>
  <c r="J244" i="278" s="1"/>
  <c r="H403" i="224"/>
  <c r="H405" i="224" s="1"/>
  <c r="O403" i="224"/>
  <c r="O405" i="224" s="1"/>
  <c r="P242" i="278"/>
  <c r="P244" i="278" s="1"/>
  <c r="M203" i="275"/>
  <c r="M205" i="275" s="1"/>
  <c r="K210" i="220"/>
  <c r="K212" i="220" s="1"/>
  <c r="J210" i="220"/>
  <c r="J212" i="220" s="1"/>
  <c r="L205" i="273"/>
  <c r="L207" i="273" s="1"/>
  <c r="K205" i="273"/>
  <c r="K207" i="273" s="1"/>
  <c r="M481" i="279"/>
  <c r="M483" i="279" s="1"/>
  <c r="L273" i="219"/>
  <c r="L275" i="219" s="1"/>
  <c r="H242" i="278"/>
  <c r="H244" i="278" s="1"/>
  <c r="L210" i="220"/>
  <c r="L212" i="220" s="1"/>
  <c r="J273" i="219"/>
  <c r="J275" i="219" s="1"/>
  <c r="K273" i="219"/>
  <c r="K275" i="219" s="1"/>
  <c r="K481" i="279"/>
  <c r="K483" i="279" s="1"/>
  <c r="L481" i="279"/>
  <c r="L483" i="279" s="1"/>
  <c r="O273" i="219"/>
  <c r="O275" i="219" s="1"/>
  <c r="N403" i="224"/>
  <c r="N405" i="224" s="1"/>
  <c r="Q205" i="273"/>
  <c r="Q207" i="273" s="1"/>
  <c r="I273" i="219"/>
  <c r="I275" i="219" s="1"/>
  <c r="N242" i="278"/>
  <c r="N244" i="278" s="1"/>
  <c r="M242" i="278"/>
  <c r="M244" i="278" s="1"/>
  <c r="P203" i="275"/>
  <c r="P205" i="275" s="1"/>
  <c r="I242" i="278"/>
  <c r="I244" i="278" s="1"/>
  <c r="J203" i="275"/>
  <c r="J205" i="275" s="1"/>
  <c r="I205" i="273"/>
  <c r="I207" i="273" s="1"/>
  <c r="O242" i="278"/>
  <c r="O244" i="278" s="1"/>
  <c r="O205" i="273"/>
  <c r="O207" i="273" s="1"/>
  <c r="N205" i="273"/>
  <c r="N207" i="273" s="1"/>
  <c r="H203" i="275"/>
  <c r="H205" i="275" s="1"/>
  <c r="M403" i="224"/>
  <c r="M405" i="224" s="1"/>
  <c r="I210" i="220"/>
  <c r="I212" i="220" s="1"/>
  <c r="L242" i="278"/>
  <c r="L244" i="278" s="1"/>
  <c r="N203" i="275"/>
  <c r="N205" i="275" s="1"/>
  <c r="N481" i="279"/>
  <c r="N483" i="279" s="1"/>
  <c r="H481" i="279"/>
  <c r="H483" i="279" s="1"/>
  <c r="I203" i="275"/>
  <c r="I205" i="275" s="1"/>
  <c r="O210" i="220"/>
  <c r="O212" i="220" s="1"/>
  <c r="O203" i="275"/>
  <c r="O205" i="275" s="1"/>
  <c r="J205" i="273"/>
  <c r="J207" i="273" s="1"/>
  <c r="P403" i="224"/>
  <c r="P405" i="224" s="1"/>
  <c r="M210" i="220"/>
  <c r="M212" i="220" s="1"/>
  <c r="K403" i="224"/>
  <c r="K405" i="224" s="1"/>
  <c r="P205" i="273"/>
  <c r="P207" i="273" s="1"/>
  <c r="P481" i="279"/>
  <c r="P483" i="279" s="1"/>
  <c r="H210" i="220"/>
  <c r="H212" i="220" s="1"/>
  <c r="G210" i="220"/>
  <c r="J481" i="279"/>
  <c r="J483" i="279" s="1"/>
  <c r="M205" i="273"/>
  <c r="M207" i="273" s="1"/>
  <c r="J269" i="219"/>
  <c r="J271" i="219" s="1"/>
  <c r="O238" i="278"/>
  <c r="O240" i="278" s="1"/>
  <c r="J201" i="273"/>
  <c r="J203" i="273" s="1"/>
  <c r="I477" i="279"/>
  <c r="I479" i="279" s="1"/>
  <c r="J206" i="220"/>
  <c r="J208" i="220" s="1"/>
  <c r="H269" i="219"/>
  <c r="H271" i="219" s="1"/>
  <c r="H206" i="220"/>
  <c r="H208" i="220" s="1"/>
  <c r="N269" i="219"/>
  <c r="N271" i="219" s="1"/>
  <c r="J399" i="224"/>
  <c r="J401" i="224" s="1"/>
  <c r="J238" i="278"/>
  <c r="J240" i="278" s="1"/>
  <c r="P201" i="273"/>
  <c r="P203" i="273" s="1"/>
  <c r="N199" i="275"/>
  <c r="N201" i="275" s="1"/>
  <c r="K399" i="224"/>
  <c r="K401" i="224" s="1"/>
  <c r="P269" i="219"/>
  <c r="P271" i="219" s="1"/>
  <c r="I269" i="219"/>
  <c r="I271" i="219" s="1"/>
  <c r="N477" i="279"/>
  <c r="N479" i="279" s="1"/>
  <c r="K201" i="273"/>
  <c r="K203" i="273" s="1"/>
  <c r="O199" i="275"/>
  <c r="O201" i="275" s="1"/>
  <c r="M206" i="220"/>
  <c r="M208" i="220" s="1"/>
  <c r="M199" i="275"/>
  <c r="M201" i="275" s="1"/>
  <c r="O269" i="219"/>
  <c r="O271" i="219" s="1"/>
  <c r="L238" i="278"/>
  <c r="L240" i="278" s="1"/>
  <c r="K238" i="278"/>
  <c r="K240" i="278" s="1"/>
  <c r="I399" i="224"/>
  <c r="I401" i="224" s="1"/>
  <c r="O477" i="279"/>
  <c r="O479" i="279" s="1"/>
  <c r="L269" i="219"/>
  <c r="L271" i="219" s="1"/>
  <c r="L206" i="220"/>
  <c r="L208" i="220" s="1"/>
  <c r="M238" i="278"/>
  <c r="M240" i="278" s="1"/>
  <c r="M201" i="273"/>
  <c r="M203" i="273" s="1"/>
  <c r="K206" i="220"/>
  <c r="K208" i="220" s="1"/>
  <c r="H399" i="224"/>
  <c r="H401" i="224" s="1"/>
  <c r="P199" i="275"/>
  <c r="P201" i="275" s="1"/>
  <c r="M399" i="224"/>
  <c r="M401" i="224" s="1"/>
  <c r="N206" i="220"/>
  <c r="N208" i="220" s="1"/>
  <c r="P238" i="278"/>
  <c r="P240" i="278" s="1"/>
  <c r="M269" i="219"/>
  <c r="M271" i="219" s="1"/>
  <c r="N201" i="273"/>
  <c r="N203" i="273" s="1"/>
  <c r="M477" i="279"/>
  <c r="M479" i="279" s="1"/>
  <c r="O201" i="273"/>
  <c r="O203" i="273" s="1"/>
  <c r="L199" i="275"/>
  <c r="L201" i="275" s="1"/>
  <c r="H199" i="275"/>
  <c r="H201" i="275" s="1"/>
  <c r="H477" i="279"/>
  <c r="H479" i="279" s="1"/>
  <c r="H238" i="278"/>
  <c r="H240" i="278" s="1"/>
  <c r="L477" i="279"/>
  <c r="L479" i="279" s="1"/>
  <c r="O399" i="224"/>
  <c r="O401" i="224" s="1"/>
  <c r="L201" i="273"/>
  <c r="L203" i="273" s="1"/>
  <c r="N238" i="278"/>
  <c r="N240" i="278" s="1"/>
  <c r="O206" i="220"/>
  <c r="O208" i="220" s="1"/>
  <c r="P477" i="279"/>
  <c r="P479" i="279" s="1"/>
  <c r="K269" i="219"/>
  <c r="K271" i="219" s="1"/>
  <c r="Q201" i="273"/>
  <c r="Q203" i="273" s="1"/>
  <c r="J199" i="275"/>
  <c r="J201" i="275" s="1"/>
  <c r="P399" i="224"/>
  <c r="P401" i="224" s="1"/>
  <c r="J477" i="279"/>
  <c r="J479" i="279" s="1"/>
  <c r="G206" i="220"/>
  <c r="L399" i="224"/>
  <c r="L401" i="224" s="1"/>
  <c r="I238" i="278"/>
  <c r="I240" i="278" s="1"/>
  <c r="I201" i="273"/>
  <c r="I203" i="273" s="1"/>
  <c r="K199" i="275"/>
  <c r="K201" i="275" s="1"/>
  <c r="I206" i="220"/>
  <c r="I208" i="220" s="1"/>
  <c r="I199" i="275"/>
  <c r="I201" i="275" s="1"/>
  <c r="K477" i="279"/>
  <c r="K479" i="279" s="1"/>
  <c r="N399" i="224"/>
  <c r="N401" i="224" s="1"/>
  <c r="M202" i="272"/>
  <c r="M204" i="272" s="1"/>
  <c r="L202" i="272"/>
  <c r="L204" i="272" s="1"/>
  <c r="J202" i="272"/>
  <c r="J204" i="272" s="1"/>
  <c r="G202" i="272"/>
  <c r="G204" i="272" s="1"/>
  <c r="H202" i="272"/>
  <c r="H204" i="272" s="1"/>
  <c r="I202" i="272"/>
  <c r="I204" i="272" s="1"/>
  <c r="K202" i="272"/>
  <c r="K204" i="272" s="1"/>
  <c r="L198" i="272"/>
  <c r="L200" i="272" s="1"/>
  <c r="M198" i="272"/>
  <c r="M200" i="272" s="1"/>
  <c r="I198" i="272"/>
  <c r="I200" i="272" s="1"/>
  <c r="J198" i="272"/>
  <c r="J200" i="272" s="1"/>
  <c r="K198" i="272"/>
  <c r="K200" i="272" s="1"/>
  <c r="G198" i="272"/>
  <c r="G200" i="272" s="1"/>
  <c r="H198" i="272"/>
  <c r="H200" i="272" s="1"/>
  <c r="F45" i="272"/>
  <c r="Q127" i="273"/>
  <c r="Q129" i="273" s="1"/>
  <c r="K127" i="273"/>
  <c r="K129" i="273" s="1"/>
  <c r="L127" i="273"/>
  <c r="L129" i="273" s="1"/>
  <c r="M127" i="273"/>
  <c r="M129" i="273" s="1"/>
  <c r="J127" i="273"/>
  <c r="J129" i="273" s="1"/>
  <c r="N127" i="273"/>
  <c r="N129" i="273" s="1"/>
  <c r="P127" i="273"/>
  <c r="P129" i="273" s="1"/>
  <c r="O127" i="273"/>
  <c r="O129" i="273" s="1"/>
  <c r="I127" i="273"/>
  <c r="I129" i="273" s="1"/>
  <c r="H205" i="273" l="1"/>
  <c r="H207" i="273" s="1"/>
  <c r="F210" i="220"/>
  <c r="G273" i="219"/>
  <c r="G275" i="219" s="1"/>
  <c r="G403" i="224"/>
  <c r="G405" i="224" s="1"/>
  <c r="G481" i="279"/>
  <c r="G483" i="279" s="1"/>
  <c r="G242" i="278"/>
  <c r="G244" i="278" s="1"/>
  <c r="G203" i="275"/>
  <c r="G205" i="275" s="1"/>
  <c r="G269" i="219"/>
  <c r="G271" i="219" s="1"/>
  <c r="G477" i="279"/>
  <c r="G479" i="279" s="1"/>
  <c r="G199" i="275"/>
  <c r="G201" i="275" s="1"/>
  <c r="F206" i="220"/>
  <c r="G238" i="278"/>
  <c r="G240" i="278" s="1"/>
  <c r="H201" i="273"/>
  <c r="H203" i="273" s="1"/>
  <c r="G399" i="224"/>
  <c r="G401" i="224" s="1"/>
  <c r="F202" i="272"/>
  <c r="F204" i="272" s="1"/>
  <c r="F198" i="272"/>
  <c r="F200" i="272" s="1"/>
  <c r="J95" i="272"/>
  <c r="J96" i="272" s="1"/>
  <c r="J98" i="272" s="1"/>
  <c r="I95" i="272"/>
  <c r="I96" i="272" s="1"/>
  <c r="I98" i="272" s="1"/>
  <c r="K95" i="272"/>
  <c r="K96" i="272" s="1"/>
  <c r="K98" i="272" s="1"/>
  <c r="L95" i="272"/>
  <c r="L96" i="272" s="1"/>
  <c r="L98" i="272" s="1"/>
  <c r="G45" i="272"/>
  <c r="H45" i="272"/>
  <c r="M45" i="272"/>
  <c r="H73" i="228"/>
  <c r="J234" i="279"/>
  <c r="G47" i="275"/>
  <c r="P135" i="224"/>
  <c r="P137" i="224" s="1"/>
  <c r="P138" i="224" s="1"/>
  <c r="I33" i="275"/>
  <c r="I36" i="275" s="1"/>
  <c r="I37" i="275" s="1"/>
  <c r="F46" i="272"/>
  <c r="F48" i="272" s="1"/>
  <c r="G95" i="272"/>
  <c r="G96" i="272" s="1"/>
  <c r="G98" i="272" s="1"/>
  <c r="F95" i="272"/>
  <c r="F96" i="272" s="1"/>
  <c r="F98" i="272" s="1"/>
  <c r="M95" i="272"/>
  <c r="M96" i="272" s="1"/>
  <c r="M98" i="272" s="1"/>
  <c r="H95" i="272"/>
  <c r="H96" i="272" s="1"/>
  <c r="H98" i="272" s="1"/>
  <c r="H135" i="224"/>
  <c r="H137" i="224" s="1"/>
  <c r="H138" i="224" s="1"/>
  <c r="I73" i="228"/>
  <c r="H47" i="273"/>
  <c r="H50" i="273" s="1"/>
  <c r="H51" i="273" s="1"/>
  <c r="H47" i="275"/>
  <c r="I200" i="224" l="1"/>
  <c r="I202" i="224" s="1"/>
  <c r="H233" i="220"/>
  <c r="J200" i="224"/>
  <c r="J202" i="224" s="1"/>
  <c r="J211" i="224" s="1"/>
  <c r="I233" i="220"/>
  <c r="K234" i="279"/>
  <c r="K236" i="279" s="1"/>
  <c r="K245" i="279" s="1"/>
  <c r="H33" i="275"/>
  <c r="H36" i="275" s="1"/>
  <c r="H37" i="275" s="1"/>
  <c r="L207" i="275"/>
  <c r="L209" i="275" s="1"/>
  <c r="P407" i="224"/>
  <c r="P409" i="224" s="1"/>
  <c r="M246" i="278"/>
  <c r="M248" i="278" s="1"/>
  <c r="O407" i="224"/>
  <c r="O409" i="224" s="1"/>
  <c r="M214" i="220"/>
  <c r="M216" i="220" s="1"/>
  <c r="M207" i="275"/>
  <c r="M209" i="275" s="1"/>
  <c r="H207" i="275"/>
  <c r="H209" i="275" s="1"/>
  <c r="K209" i="273"/>
  <c r="K211" i="273" s="1"/>
  <c r="K214" i="220"/>
  <c r="K216" i="220" s="1"/>
  <c r="H407" i="224"/>
  <c r="H409" i="224" s="1"/>
  <c r="N209" i="273"/>
  <c r="N211" i="273" s="1"/>
  <c r="I277" i="219"/>
  <c r="I279" i="219" s="1"/>
  <c r="J277" i="219"/>
  <c r="J279" i="219" s="1"/>
  <c r="L214" i="220"/>
  <c r="L216" i="220" s="1"/>
  <c r="P207" i="275"/>
  <c r="P209" i="275" s="1"/>
  <c r="L485" i="279"/>
  <c r="L487" i="279" s="1"/>
  <c r="L277" i="219"/>
  <c r="L279" i="219" s="1"/>
  <c r="J207" i="275"/>
  <c r="J209" i="275" s="1"/>
  <c r="I207" i="275"/>
  <c r="I209" i="275" s="1"/>
  <c r="I246" i="278"/>
  <c r="I248" i="278" s="1"/>
  <c r="P246" i="278"/>
  <c r="P248" i="278" s="1"/>
  <c r="K277" i="219"/>
  <c r="K279" i="219" s="1"/>
  <c r="P277" i="219"/>
  <c r="P279" i="219" s="1"/>
  <c r="J407" i="224"/>
  <c r="J409" i="224" s="1"/>
  <c r="N246" i="278"/>
  <c r="N248" i="278" s="1"/>
  <c r="K246" i="278"/>
  <c r="K248" i="278" s="1"/>
  <c r="I214" i="220"/>
  <c r="I216" i="220" s="1"/>
  <c r="H214" i="220"/>
  <c r="H216" i="220" s="1"/>
  <c r="J209" i="273"/>
  <c r="J211" i="273" s="1"/>
  <c r="H246" i="278"/>
  <c r="H248" i="278" s="1"/>
  <c r="O246" i="278"/>
  <c r="O248" i="278" s="1"/>
  <c r="J246" i="278"/>
  <c r="J248" i="278" s="1"/>
  <c r="P485" i="279"/>
  <c r="P487" i="279" s="1"/>
  <c r="O209" i="273"/>
  <c r="O211" i="273" s="1"/>
  <c r="L209" i="273"/>
  <c r="L211" i="273" s="1"/>
  <c r="N277" i="219"/>
  <c r="N279" i="219" s="1"/>
  <c r="O277" i="219"/>
  <c r="O279" i="219" s="1"/>
  <c r="J485" i="279"/>
  <c r="J487" i="279" s="1"/>
  <c r="Q209" i="273"/>
  <c r="Q211" i="273" s="1"/>
  <c r="H485" i="279"/>
  <c r="H487" i="279" s="1"/>
  <c r="O214" i="220"/>
  <c r="O216" i="220" s="1"/>
  <c r="M485" i="279"/>
  <c r="M487" i="279" s="1"/>
  <c r="K207" i="275"/>
  <c r="K209" i="275" s="1"/>
  <c r="L246" i="278"/>
  <c r="L248" i="278" s="1"/>
  <c r="O207" i="275"/>
  <c r="O209" i="275" s="1"/>
  <c r="I209" i="273"/>
  <c r="I211" i="273" s="1"/>
  <c r="P209" i="273"/>
  <c r="P211" i="273" s="1"/>
  <c r="N407" i="224"/>
  <c r="N409" i="224" s="1"/>
  <c r="G214" i="220"/>
  <c r="I407" i="224"/>
  <c r="I409" i="224" s="1"/>
  <c r="J214" i="220"/>
  <c r="J216" i="220" s="1"/>
  <c r="M209" i="273"/>
  <c r="M211" i="273" s="1"/>
  <c r="L407" i="224"/>
  <c r="L409" i="224" s="1"/>
  <c r="K485" i="279"/>
  <c r="K487" i="279" s="1"/>
  <c r="I485" i="279"/>
  <c r="I487" i="279" s="1"/>
  <c r="N485" i="279"/>
  <c r="N487" i="279" s="1"/>
  <c r="M277" i="219"/>
  <c r="M279" i="219" s="1"/>
  <c r="O485" i="279"/>
  <c r="O487" i="279" s="1"/>
  <c r="N214" i="220"/>
  <c r="N216" i="220" s="1"/>
  <c r="N207" i="275"/>
  <c r="N209" i="275" s="1"/>
  <c r="K407" i="224"/>
  <c r="K409" i="224" s="1"/>
  <c r="H277" i="219"/>
  <c r="H279" i="219" s="1"/>
  <c r="M407" i="224"/>
  <c r="M409" i="224" s="1"/>
  <c r="L206" i="272"/>
  <c r="L208" i="272" s="1"/>
  <c r="M206" i="272"/>
  <c r="M208" i="272" s="1"/>
  <c r="G206" i="272"/>
  <c r="G208" i="272" s="1"/>
  <c r="H206" i="272"/>
  <c r="H208" i="272" s="1"/>
  <c r="J206" i="272"/>
  <c r="J208" i="272" s="1"/>
  <c r="I206" i="272"/>
  <c r="I208" i="272" s="1"/>
  <c r="K206" i="272"/>
  <c r="K208" i="272" s="1"/>
  <c r="G94" i="272"/>
  <c r="H46" i="272"/>
  <c r="H48" i="272" s="1"/>
  <c r="G46" i="272"/>
  <c r="G48" i="272" s="1"/>
  <c r="M46" i="272"/>
  <c r="M48" i="272" s="1"/>
  <c r="M94" i="272"/>
  <c r="J94" i="272"/>
  <c r="K94" i="272"/>
  <c r="L94" i="272"/>
  <c r="I94" i="272"/>
  <c r="H94" i="272"/>
  <c r="M47" i="273"/>
  <c r="M50" i="273" s="1"/>
  <c r="M51" i="273" s="1"/>
  <c r="N47" i="273"/>
  <c r="N50" i="273" s="1"/>
  <c r="N51" i="273" s="1"/>
  <c r="O47" i="273"/>
  <c r="O50" i="273" s="1"/>
  <c r="O51" i="273" s="1"/>
  <c r="K47" i="273"/>
  <c r="K50" i="273" s="1"/>
  <c r="K51" i="273" s="1"/>
  <c r="P47" i="273"/>
  <c r="P50" i="273" s="1"/>
  <c r="P51" i="273" s="1"/>
  <c r="I47" i="273"/>
  <c r="I50" i="273" s="1"/>
  <c r="I51" i="273" s="1"/>
  <c r="Q47" i="273"/>
  <c r="Q50" i="273" s="1"/>
  <c r="Q51" i="273" s="1"/>
  <c r="L47" i="273"/>
  <c r="L50" i="273" s="1"/>
  <c r="L51" i="273" s="1"/>
  <c r="J47" i="273"/>
  <c r="J50" i="273" s="1"/>
  <c r="J51" i="273" s="1"/>
  <c r="M135" i="224"/>
  <c r="M137" i="224" s="1"/>
  <c r="M138" i="224" s="1"/>
  <c r="N135" i="224"/>
  <c r="N137" i="224" s="1"/>
  <c r="N138" i="224" s="1"/>
  <c r="J135" i="224"/>
  <c r="J137" i="224" s="1"/>
  <c r="J138" i="224" s="1"/>
  <c r="G135" i="224"/>
  <c r="G137" i="224" s="1"/>
  <c r="G138" i="224" s="1"/>
  <c r="K135" i="224"/>
  <c r="K137" i="224" s="1"/>
  <c r="K138" i="224" s="1"/>
  <c r="O135" i="224"/>
  <c r="O137" i="224" s="1"/>
  <c r="O138" i="224" s="1"/>
  <c r="L135" i="224"/>
  <c r="L137" i="224" s="1"/>
  <c r="L138" i="224" s="1"/>
  <c r="J236" i="279"/>
  <c r="I235" i="220"/>
  <c r="I75" i="228"/>
  <c r="J33" i="275"/>
  <c r="J36" i="275" s="1"/>
  <c r="J37" i="275" s="1"/>
  <c r="K33" i="275"/>
  <c r="K36" i="275" s="1"/>
  <c r="K37" i="275" s="1"/>
  <c r="P33" i="275"/>
  <c r="P36" i="275" s="1"/>
  <c r="P37" i="275" s="1"/>
  <c r="O33" i="275"/>
  <c r="O36" i="275" s="1"/>
  <c r="O37" i="275" s="1"/>
  <c r="M33" i="275"/>
  <c r="M36" i="275" s="1"/>
  <c r="M37" i="275" s="1"/>
  <c r="G33" i="275"/>
  <c r="G36" i="275" s="1"/>
  <c r="G37" i="275" s="1"/>
  <c r="L33" i="275"/>
  <c r="L36" i="275" s="1"/>
  <c r="L37" i="275" s="1"/>
  <c r="N33" i="275"/>
  <c r="N36" i="275" s="1"/>
  <c r="N37" i="275" s="1"/>
  <c r="I135" i="224"/>
  <c r="I137" i="224" s="1"/>
  <c r="I138" i="224" s="1"/>
  <c r="H53" i="273"/>
  <c r="H56" i="273" s="1"/>
  <c r="H61" i="273" s="1"/>
  <c r="M42" i="272"/>
  <c r="M44" i="272" s="1"/>
  <c r="H42" i="272"/>
  <c r="H44" i="272" s="1"/>
  <c r="F42" i="272"/>
  <c r="F44" i="272" s="1"/>
  <c r="G42" i="272"/>
  <c r="G44" i="272" s="1"/>
  <c r="F92" i="272"/>
  <c r="F94" i="272" s="1"/>
  <c r="G33" i="228"/>
  <c r="G35" i="228" s="1"/>
  <c r="H33" i="228"/>
  <c r="H35" i="228" s="1"/>
  <c r="I33" i="228"/>
  <c r="I35" i="228" s="1"/>
  <c r="F33" i="228"/>
  <c r="F35" i="228" s="1"/>
  <c r="G182" i="220"/>
  <c r="G184" i="220" s="1"/>
  <c r="F182" i="220"/>
  <c r="F184" i="220" s="1"/>
  <c r="G179" i="220"/>
  <c r="G181" i="220" s="1"/>
  <c r="F179" i="220"/>
  <c r="F181" i="220" s="1"/>
  <c r="G154" i="220"/>
  <c r="G156" i="220" s="1"/>
  <c r="F154" i="220"/>
  <c r="F156" i="220" s="1"/>
  <c r="G151" i="220"/>
  <c r="G153" i="220" s="1"/>
  <c r="F151" i="220"/>
  <c r="F153" i="220" s="1"/>
  <c r="F214" i="220" l="1"/>
  <c r="G407" i="224"/>
  <c r="G409" i="224" s="1"/>
  <c r="G277" i="219"/>
  <c r="G279" i="219" s="1"/>
  <c r="G246" i="278"/>
  <c r="G248" i="278" s="1"/>
  <c r="G485" i="279"/>
  <c r="G487" i="279" s="1"/>
  <c r="G207" i="275"/>
  <c r="G209" i="275" s="1"/>
  <c r="H209" i="273"/>
  <c r="H211" i="273" s="1"/>
  <c r="F206" i="272"/>
  <c r="F208" i="272" s="1"/>
  <c r="P53" i="273"/>
  <c r="P56" i="273" s="1"/>
  <c r="P61" i="273" s="1"/>
  <c r="Q53" i="273"/>
  <c r="Q56" i="273" s="1"/>
  <c r="Q61" i="273" s="1"/>
  <c r="J53" i="273"/>
  <c r="J56" i="273" s="1"/>
  <c r="J61" i="273" s="1"/>
  <c r="I53" i="273"/>
  <c r="I56" i="273" s="1"/>
  <c r="I61" i="273" s="1"/>
  <c r="O53" i="273"/>
  <c r="O56" i="273" s="1"/>
  <c r="O61" i="273" s="1"/>
  <c r="K53" i="273"/>
  <c r="K56" i="273" s="1"/>
  <c r="K61" i="273" s="1"/>
  <c r="N53" i="273"/>
  <c r="N56" i="273" s="1"/>
  <c r="N61" i="273" s="1"/>
  <c r="L53" i="273"/>
  <c r="L56" i="273" s="1"/>
  <c r="L61" i="273" s="1"/>
  <c r="M53" i="273"/>
  <c r="M56" i="273" s="1"/>
  <c r="M61" i="273" s="1"/>
  <c r="H38" i="228"/>
  <c r="G38" i="228"/>
  <c r="F38" i="228"/>
  <c r="I38" i="228"/>
  <c r="P434" i="279" l="1"/>
  <c r="P436" i="279" s="1"/>
  <c r="M22" i="219"/>
  <c r="M24" i="219" s="1"/>
  <c r="M25" i="219" s="1"/>
  <c r="O434" i="279"/>
  <c r="O436" i="279" s="1"/>
  <c r="N22" i="219"/>
  <c r="N24" i="219" s="1"/>
  <c r="N25" i="219" s="1"/>
  <c r="N434" i="279"/>
  <c r="N436" i="279" s="1"/>
  <c r="O22" i="219"/>
  <c r="O24" i="219" s="1"/>
  <c r="O25" i="219" s="1"/>
  <c r="P22" i="219"/>
  <c r="P24" i="219" s="1"/>
  <c r="P25" i="219" s="1"/>
  <c r="L434" i="279"/>
  <c r="L436" i="279" s="1"/>
  <c r="K434" i="279"/>
  <c r="K436" i="279" s="1"/>
  <c r="I434" i="279"/>
  <c r="I436" i="279" s="1"/>
  <c r="I22" i="219"/>
  <c r="I24" i="219" s="1"/>
  <c r="I25" i="219" s="1"/>
  <c r="G434" i="279"/>
  <c r="G436" i="279" s="1"/>
  <c r="M434" i="279"/>
  <c r="M436" i="279" s="1"/>
  <c r="J434" i="279"/>
  <c r="J436" i="279" s="1"/>
  <c r="H22" i="219"/>
  <c r="H24" i="219" s="1"/>
  <c r="H25" i="219" s="1"/>
  <c r="H434" i="279"/>
  <c r="H436" i="279" s="1"/>
  <c r="J22" i="219"/>
  <c r="J24" i="219" s="1"/>
  <c r="J25" i="219" s="1"/>
  <c r="K22" i="219"/>
  <c r="K24" i="219" s="1"/>
  <c r="K25" i="219" s="1"/>
  <c r="L22" i="219"/>
  <c r="L24" i="219" s="1"/>
  <c r="L25" i="219" s="1"/>
  <c r="H225" i="219"/>
  <c r="H227" i="219" s="1"/>
  <c r="H194" i="278"/>
  <c r="H196" i="278" s="1"/>
  <c r="J165" i="220"/>
  <c r="J167" i="220" s="1"/>
  <c r="O174" i="224"/>
  <c r="O176" i="224" s="1"/>
  <c r="J166" i="275"/>
  <c r="J168" i="275" s="1"/>
  <c r="I165" i="220"/>
  <c r="I167" i="220" s="1"/>
  <c r="H165" i="220"/>
  <c r="H167" i="220" s="1"/>
  <c r="I166" i="275"/>
  <c r="I168" i="275" s="1"/>
  <c r="M166" i="275"/>
  <c r="M168" i="275" s="1"/>
  <c r="H166" i="275"/>
  <c r="H168" i="275" s="1"/>
  <c r="L166" i="275"/>
  <c r="L168" i="275" s="1"/>
  <c r="N166" i="275"/>
  <c r="N168" i="275" s="1"/>
  <c r="K166" i="275"/>
  <c r="K168" i="275" s="1"/>
  <c r="P448" i="279"/>
  <c r="P450" i="279" s="1"/>
  <c r="L167" i="220"/>
  <c r="K167" i="220"/>
  <c r="I362" i="224" l="1"/>
  <c r="I364" i="224" s="1"/>
  <c r="I239" i="219"/>
  <c r="I241" i="219" s="1"/>
  <c r="J362" i="224"/>
  <c r="J364" i="224" s="1"/>
  <c r="P198" i="279"/>
  <c r="P200" i="279" s="1"/>
  <c r="G362" i="224"/>
  <c r="G364" i="224" s="1"/>
  <c r="H448" i="279"/>
  <c r="H450" i="279" s="1"/>
  <c r="K39" i="228"/>
  <c r="K41" i="228" s="1"/>
  <c r="O198" i="279"/>
  <c r="O200" i="279" s="1"/>
  <c r="M362" i="224"/>
  <c r="M364" i="224" s="1"/>
  <c r="M208" i="278"/>
  <c r="M210" i="278" s="1"/>
  <c r="H208" i="278"/>
  <c r="H210" i="278" s="1"/>
  <c r="Q39" i="228"/>
  <c r="Q41" i="228" s="1"/>
  <c r="L239" i="219"/>
  <c r="P362" i="224"/>
  <c r="P364" i="224" s="1"/>
  <c r="L198" i="279"/>
  <c r="L200" i="279" s="1"/>
  <c r="L208" i="278"/>
  <c r="L210" i="278" s="1"/>
  <c r="N362" i="224"/>
  <c r="N364" i="224" s="1"/>
  <c r="H362" i="224"/>
  <c r="H364" i="224" s="1"/>
  <c r="J171" i="273"/>
  <c r="J173" i="273" s="1"/>
  <c r="J198" i="279"/>
  <c r="J200" i="279" s="1"/>
  <c r="I171" i="273"/>
  <c r="I173" i="273" s="1"/>
  <c r="K239" i="219"/>
  <c r="M198" i="279"/>
  <c r="M200" i="279" s="1"/>
  <c r="O362" i="224"/>
  <c r="O364" i="224" s="1"/>
  <c r="G208" i="278"/>
  <c r="G210" i="278" s="1"/>
  <c r="G198" i="279"/>
  <c r="G200" i="279" s="1"/>
  <c r="K362" i="224"/>
  <c r="K364" i="224" s="1"/>
  <c r="M239" i="219"/>
  <c r="O208" i="278"/>
  <c r="O210" i="278" s="1"/>
  <c r="P171" i="273"/>
  <c r="P173" i="273" s="1"/>
  <c r="P166" i="275"/>
  <c r="P168" i="275" s="1"/>
  <c r="O171" i="273"/>
  <c r="O173" i="273" s="1"/>
  <c r="O239" i="219"/>
  <c r="O39" i="228"/>
  <c r="O41" i="228" s="1"/>
  <c r="M174" i="224"/>
  <c r="M176" i="224" s="1"/>
  <c r="J448" i="279"/>
  <c r="J450" i="279" s="1"/>
  <c r="N165" i="220"/>
  <c r="N167" i="220" s="1"/>
  <c r="M165" i="220"/>
  <c r="M167" i="220" s="1"/>
  <c r="L171" i="273"/>
  <c r="L173" i="273" s="1"/>
  <c r="G39" i="228"/>
  <c r="F165" i="220"/>
  <c r="N39" i="228"/>
  <c r="N41" i="228" s="1"/>
  <c r="H174" i="224"/>
  <c r="H176" i="224" s="1"/>
  <c r="J39" i="228"/>
  <c r="J41" i="228" s="1"/>
  <c r="G165" i="220"/>
  <c r="P208" i="278"/>
  <c r="P210" i="278" s="1"/>
  <c r="K208" i="278"/>
  <c r="K210" i="278" s="1"/>
  <c r="G448" i="279"/>
  <c r="G450" i="279" s="1"/>
  <c r="M171" i="273"/>
  <c r="M173" i="273" s="1"/>
  <c r="L174" i="224"/>
  <c r="L176" i="224" s="1"/>
  <c r="H39" i="228"/>
  <c r="O166" i="275"/>
  <c r="O168" i="275" s="1"/>
  <c r="N171" i="273"/>
  <c r="N173" i="273" s="1"/>
  <c r="I198" i="279"/>
  <c r="I200" i="279" s="1"/>
  <c r="P39" i="228"/>
  <c r="P41" i="228" s="1"/>
  <c r="P174" i="224"/>
  <c r="P176" i="224" s="1"/>
  <c r="L362" i="224"/>
  <c r="L364" i="224" s="1"/>
  <c r="N208" i="278"/>
  <c r="N210" i="278" s="1"/>
  <c r="G239" i="219"/>
  <c r="G241" i="219" s="1"/>
  <c r="H171" i="273"/>
  <c r="H173" i="273" s="1"/>
  <c r="Q171" i="273"/>
  <c r="Q173" i="273" s="1"/>
  <c r="L448" i="279"/>
  <c r="L450" i="279" s="1"/>
  <c r="N239" i="219"/>
  <c r="N241" i="219" s="1"/>
  <c r="J208" i="278"/>
  <c r="J210" i="278" s="1"/>
  <c r="N448" i="279"/>
  <c r="N450" i="279" s="1"/>
  <c r="G166" i="275"/>
  <c r="G168" i="275" s="1"/>
  <c r="K198" i="279"/>
  <c r="K200" i="279" s="1"/>
  <c r="M39" i="228"/>
  <c r="M41" i="228" s="1"/>
  <c r="J174" i="224"/>
  <c r="J176" i="224" s="1"/>
  <c r="I39" i="228"/>
  <c r="H239" i="219"/>
  <c r="H241" i="219" s="1"/>
  <c r="F39" i="228"/>
  <c r="K448" i="279"/>
  <c r="K450" i="279" s="1"/>
  <c r="N198" i="279"/>
  <c r="N200" i="279" s="1"/>
  <c r="I448" i="279"/>
  <c r="I450" i="279" s="1"/>
  <c r="P239" i="219"/>
  <c r="P241" i="219" s="1"/>
  <c r="O165" i="220"/>
  <c r="O167" i="220" s="1"/>
  <c r="J239" i="219"/>
  <c r="J241" i="219" s="1"/>
  <c r="O448" i="279"/>
  <c r="O450" i="279" s="1"/>
  <c r="I208" i="278"/>
  <c r="I210" i="278" s="1"/>
  <c r="M448" i="279"/>
  <c r="M450" i="279" s="1"/>
  <c r="K171" i="273"/>
  <c r="K173" i="273" s="1"/>
  <c r="H198" i="279"/>
  <c r="H200" i="279" s="1"/>
  <c r="L39" i="228"/>
  <c r="L41" i="228" s="1"/>
  <c r="K174" i="224"/>
  <c r="K176" i="224" s="1"/>
  <c r="J156" i="272"/>
  <c r="L156" i="272"/>
  <c r="K156" i="272"/>
  <c r="I156" i="272"/>
  <c r="H156" i="272"/>
  <c r="F156" i="272"/>
  <c r="M156" i="272"/>
  <c r="G156" i="272"/>
  <c r="N174" i="224"/>
  <c r="N176" i="224" s="1"/>
  <c r="I174" i="224"/>
  <c r="I176" i="224" s="1"/>
  <c r="G174" i="224"/>
  <c r="G131" i="220" l="1"/>
  <c r="G128" i="220"/>
  <c r="F69" i="220"/>
  <c r="F95" i="220"/>
  <c r="F72" i="220" l="1"/>
  <c r="F73" i="220" s="1"/>
  <c r="F84" i="220" s="1"/>
  <c r="K199" i="219"/>
  <c r="M199" i="219"/>
  <c r="L199" i="219"/>
  <c r="K177" i="219"/>
  <c r="K183" i="219"/>
  <c r="K155" i="219"/>
  <c r="K159" i="219" s="1"/>
  <c r="K171" i="219"/>
  <c r="K116" i="219"/>
  <c r="K118" i="219" s="1"/>
  <c r="K122" i="219" s="1"/>
  <c r="K281" i="219"/>
  <c r="K283" i="219" s="1"/>
  <c r="K76" i="219"/>
  <c r="K78" i="219" s="1"/>
  <c r="K82" i="219" s="1"/>
  <c r="K95" i="219"/>
  <c r="K97" i="219" s="1"/>
  <c r="K101" i="219" s="1"/>
  <c r="L95" i="219"/>
  <c r="L97" i="219" s="1"/>
  <c r="L101" i="219" s="1"/>
  <c r="L76" i="219"/>
  <c r="L78" i="219" s="1"/>
  <c r="L82" i="219" s="1"/>
  <c r="L177" i="219"/>
  <c r="L183" i="219"/>
  <c r="L155" i="219"/>
  <c r="L159" i="219" s="1"/>
  <c r="L171" i="219"/>
  <c r="L116" i="219"/>
  <c r="L118" i="219" s="1"/>
  <c r="L122" i="219" s="1"/>
  <c r="L281" i="219"/>
  <c r="L283" i="219" s="1"/>
  <c r="M95" i="219"/>
  <c r="M97" i="219" s="1"/>
  <c r="M101" i="219" s="1"/>
  <c r="M76" i="219"/>
  <c r="M78" i="219" s="1"/>
  <c r="M82" i="219" s="1"/>
  <c r="M177" i="219"/>
  <c r="M183" i="219"/>
  <c r="M155" i="219"/>
  <c r="M159" i="219" s="1"/>
  <c r="M171" i="219"/>
  <c r="M116" i="219"/>
  <c r="M118" i="219" s="1"/>
  <c r="M122" i="219" s="1"/>
  <c r="M281" i="219"/>
  <c r="M283" i="219" s="1"/>
  <c r="F97" i="220"/>
  <c r="F96" i="220"/>
  <c r="F150" i="220"/>
  <c r="F178" i="220"/>
  <c r="G150" i="220"/>
  <c r="G178" i="220"/>
  <c r="J195" i="275" l="1"/>
  <c r="J197" i="275" s="1"/>
  <c r="H202" i="220"/>
  <c r="H204" i="220" s="1"/>
  <c r="I265" i="219"/>
  <c r="I267" i="219" s="1"/>
  <c r="P197" i="273"/>
  <c r="P199" i="273" s="1"/>
  <c r="N234" i="278"/>
  <c r="N236" i="278" s="1"/>
  <c r="M234" i="278"/>
  <c r="M236" i="278" s="1"/>
  <c r="K265" i="219"/>
  <c r="K267" i="219" s="1"/>
  <c r="I202" i="220"/>
  <c r="I204" i="220" s="1"/>
  <c r="K395" i="224"/>
  <c r="K397" i="224" s="1"/>
  <c r="H265" i="219"/>
  <c r="H267" i="219" s="1"/>
  <c r="J234" i="278"/>
  <c r="J236" i="278" s="1"/>
  <c r="J265" i="219"/>
  <c r="J267" i="219" s="1"/>
  <c r="O197" i="273"/>
  <c r="O199" i="273" s="1"/>
  <c r="M202" i="220"/>
  <c r="M204" i="220" s="1"/>
  <c r="N197" i="273"/>
  <c r="N199" i="273" s="1"/>
  <c r="L197" i="273"/>
  <c r="L199" i="273" s="1"/>
  <c r="P265" i="219"/>
  <c r="P267" i="219" s="1"/>
  <c r="K197" i="273"/>
  <c r="K199" i="273" s="1"/>
  <c r="K473" i="279"/>
  <c r="K475" i="279" s="1"/>
  <c r="M473" i="279"/>
  <c r="M475" i="279" s="1"/>
  <c r="N473" i="279"/>
  <c r="N475" i="279" s="1"/>
  <c r="L473" i="279"/>
  <c r="L475" i="279" s="1"/>
  <c r="N195" i="275"/>
  <c r="N197" i="275" s="1"/>
  <c r="O265" i="219"/>
  <c r="O267" i="219" s="1"/>
  <c r="I473" i="279"/>
  <c r="I475" i="279" s="1"/>
  <c r="K234" i="278"/>
  <c r="K236" i="278" s="1"/>
  <c r="J473" i="279"/>
  <c r="J475" i="279" s="1"/>
  <c r="M195" i="275"/>
  <c r="M197" i="275" s="1"/>
  <c r="H395" i="224"/>
  <c r="H397" i="224" s="1"/>
  <c r="I395" i="224"/>
  <c r="I397" i="224" s="1"/>
  <c r="Q197" i="273"/>
  <c r="Q199" i="273" s="1"/>
  <c r="I197" i="273"/>
  <c r="I199" i="273" s="1"/>
  <c r="L234" i="278"/>
  <c r="L236" i="278" s="1"/>
  <c r="L395" i="224"/>
  <c r="L397" i="224" s="1"/>
  <c r="P195" i="275"/>
  <c r="P197" i="275" s="1"/>
  <c r="M395" i="224"/>
  <c r="M397" i="224" s="1"/>
  <c r="L202" i="220"/>
  <c r="L204" i="220" s="1"/>
  <c r="P395" i="224"/>
  <c r="P397" i="224" s="1"/>
  <c r="O473" i="279"/>
  <c r="O475" i="279" s="1"/>
  <c r="J395" i="224"/>
  <c r="J397" i="224" s="1"/>
  <c r="M197" i="273"/>
  <c r="M199" i="273" s="1"/>
  <c r="I234" i="278"/>
  <c r="I236" i="278" s="1"/>
  <c r="H195" i="275"/>
  <c r="H197" i="275" s="1"/>
  <c r="O195" i="275"/>
  <c r="O197" i="275" s="1"/>
  <c r="L265" i="219"/>
  <c r="L267" i="219" s="1"/>
  <c r="L195" i="275"/>
  <c r="L197" i="275" s="1"/>
  <c r="K195" i="275"/>
  <c r="K197" i="275" s="1"/>
  <c r="P234" i="278"/>
  <c r="P236" i="278" s="1"/>
  <c r="H234" i="278"/>
  <c r="H236" i="278" s="1"/>
  <c r="H473" i="279"/>
  <c r="H475" i="279" s="1"/>
  <c r="J197" i="273"/>
  <c r="J199" i="273" s="1"/>
  <c r="O202" i="220"/>
  <c r="O204" i="220" s="1"/>
  <c r="O234" i="278"/>
  <c r="O236" i="278" s="1"/>
  <c r="K202" i="220"/>
  <c r="K204" i="220" s="1"/>
  <c r="J202" i="220"/>
  <c r="J204" i="220" s="1"/>
  <c r="N395" i="224"/>
  <c r="N397" i="224" s="1"/>
  <c r="P473" i="279"/>
  <c r="P475" i="279" s="1"/>
  <c r="I195" i="275"/>
  <c r="I197" i="275" s="1"/>
  <c r="G202" i="220"/>
  <c r="N202" i="220"/>
  <c r="N204" i="220" s="1"/>
  <c r="M265" i="219"/>
  <c r="M267" i="219" s="1"/>
  <c r="N265" i="219"/>
  <c r="N267" i="219" s="1"/>
  <c r="O395" i="224"/>
  <c r="O397" i="224" s="1"/>
  <c r="I194" i="272"/>
  <c r="I196" i="272" s="1"/>
  <c r="J194" i="272"/>
  <c r="J196" i="272" s="1"/>
  <c r="K194" i="272"/>
  <c r="K196" i="272" s="1"/>
  <c r="G194" i="272"/>
  <c r="G196" i="272" s="1"/>
  <c r="H194" i="272"/>
  <c r="H196" i="272" s="1"/>
  <c r="L194" i="272"/>
  <c r="L196" i="272" s="1"/>
  <c r="M194" i="272"/>
  <c r="M196" i="272" s="1"/>
  <c r="L201" i="219"/>
  <c r="M201" i="219"/>
  <c r="K201" i="219"/>
  <c r="M291" i="219"/>
  <c r="M285" i="219"/>
  <c r="L291" i="219"/>
  <c r="L285" i="219"/>
  <c r="K291" i="219"/>
  <c r="K285" i="219"/>
  <c r="K235" i="219"/>
  <c r="K238" i="219" s="1"/>
  <c r="K213" i="219"/>
  <c r="K217" i="219" s="1"/>
  <c r="K218" i="219" s="1"/>
  <c r="M213" i="219"/>
  <c r="M217" i="219" s="1"/>
  <c r="M235" i="219"/>
  <c r="L235" i="219"/>
  <c r="L213" i="219"/>
  <c r="L217" i="219" s="1"/>
  <c r="G473" i="279" l="1"/>
  <c r="G475" i="279" s="1"/>
  <c r="F202" i="220"/>
  <c r="H197" i="273"/>
  <c r="H199" i="273" s="1"/>
  <c r="G265" i="219"/>
  <c r="G267" i="219" s="1"/>
  <c r="G395" i="224"/>
  <c r="G397" i="224" s="1"/>
  <c r="G195" i="275"/>
  <c r="G197" i="275" s="1"/>
  <c r="G234" i="278"/>
  <c r="G236" i="278" s="1"/>
  <c r="F194" i="272"/>
  <c r="F196" i="272" s="1"/>
  <c r="L219" i="219"/>
  <c r="M219" i="219"/>
  <c r="K219" i="219"/>
  <c r="K241" i="219"/>
  <c r="M238" i="219"/>
  <c r="L238" i="219"/>
  <c r="M123" i="219"/>
  <c r="M138" i="219" s="1"/>
  <c r="M134" i="219"/>
  <c r="K123" i="219"/>
  <c r="K138" i="219" s="1"/>
  <c r="K134" i="219"/>
  <c r="L123" i="219"/>
  <c r="L138" i="219" s="1"/>
  <c r="L134" i="219"/>
  <c r="C31" i="220"/>
  <c r="C32" i="220"/>
  <c r="C30" i="220"/>
  <c r="K212" i="272" l="1"/>
  <c r="K214" i="272" s="1"/>
  <c r="K215" i="272" s="1"/>
  <c r="L212" i="272"/>
  <c r="L214" i="272" s="1"/>
  <c r="L215" i="272" s="1"/>
  <c r="M212" i="272"/>
  <c r="M214" i="272" s="1"/>
  <c r="M215" i="272" s="1"/>
  <c r="I212" i="272"/>
  <c r="I214" i="272" s="1"/>
  <c r="I215" i="272" s="1"/>
  <c r="J212" i="272"/>
  <c r="J214" i="272" s="1"/>
  <c r="J215" i="272" s="1"/>
  <c r="L241" i="219"/>
  <c r="M241" i="219"/>
  <c r="J18" i="224"/>
  <c r="J20" i="224" s="1"/>
  <c r="J21" i="224" s="1"/>
  <c r="P18" i="224"/>
  <c r="P20" i="224" s="1"/>
  <c r="P21" i="224" s="1"/>
  <c r="N18" i="224"/>
  <c r="N20" i="224" s="1"/>
  <c r="N21" i="224" s="1"/>
  <c r="I18" i="224"/>
  <c r="I20" i="224" s="1"/>
  <c r="I21" i="224" s="1"/>
  <c r="K18" i="224"/>
  <c r="K20" i="224" s="1"/>
  <c r="K21" i="224" s="1"/>
  <c r="L18" i="224"/>
  <c r="L20" i="224" s="1"/>
  <c r="L21" i="224" s="1"/>
  <c r="O18" i="224"/>
  <c r="O20" i="224" s="1"/>
  <c r="O21" i="224" s="1"/>
  <c r="M18" i="224"/>
  <c r="M20" i="224" s="1"/>
  <c r="M21" i="224" s="1"/>
  <c r="G18" i="224"/>
  <c r="G20" i="224" s="1"/>
  <c r="G21" i="224" s="1"/>
  <c r="H18" i="224"/>
  <c r="H20" i="224" s="1"/>
  <c r="H21" i="224" s="1"/>
  <c r="H212" i="272"/>
  <c r="H214" i="272" s="1"/>
  <c r="H215" i="272" s="1"/>
  <c r="G212" i="272"/>
  <c r="G214" i="272" s="1"/>
  <c r="G215" i="272" s="1"/>
  <c r="M26" i="220"/>
  <c r="M31" i="220" s="1"/>
  <c r="J26" i="220"/>
  <c r="J31" i="220" s="1"/>
  <c r="L26" i="220"/>
  <c r="L31" i="220" s="1"/>
  <c r="N26" i="220"/>
  <c r="N31" i="220" s="1"/>
  <c r="I26" i="220"/>
  <c r="I31" i="220" s="1"/>
  <c r="K26" i="220"/>
  <c r="K31" i="220" s="1"/>
  <c r="F26" i="220"/>
  <c r="F31" i="220" s="1"/>
  <c r="H26" i="220"/>
  <c r="H31" i="220" s="1"/>
  <c r="O26" i="220"/>
  <c r="O31" i="220" s="1"/>
  <c r="G26" i="220"/>
  <c r="G31" i="220" s="1"/>
  <c r="F212" i="272" l="1"/>
  <c r="F214" i="272" s="1"/>
  <c r="F215" i="272" s="1"/>
  <c r="I28" i="220"/>
  <c r="I32" i="220" s="1"/>
  <c r="I24" i="220"/>
  <c r="I30" i="220" s="1"/>
  <c r="N28" i="220"/>
  <c r="N32" i="220" s="1"/>
  <c r="F28" i="220"/>
  <c r="F32" i="220" s="1"/>
  <c r="M28" i="220"/>
  <c r="M32" i="220" s="1"/>
  <c r="H28" i="220"/>
  <c r="H32" i="220" s="1"/>
  <c r="K28" i="220"/>
  <c r="K32" i="220" s="1"/>
  <c r="G28" i="220"/>
  <c r="G32" i="220" s="1"/>
  <c r="L28" i="220"/>
  <c r="L32" i="220" s="1"/>
  <c r="J28" i="220"/>
  <c r="J32" i="220" s="1"/>
  <c r="O28" i="220"/>
  <c r="O32" i="220" s="1"/>
  <c r="N24" i="220"/>
  <c r="N30" i="220" s="1"/>
  <c r="K24" i="220"/>
  <c r="K30" i="220" s="1"/>
  <c r="H24" i="220"/>
  <c r="H30" i="220" s="1"/>
  <c r="M24" i="220"/>
  <c r="M30" i="220" s="1"/>
  <c r="J24" i="220"/>
  <c r="J30" i="220" s="1"/>
  <c r="O24" i="220"/>
  <c r="O30" i="220" s="1"/>
  <c r="G24" i="220"/>
  <c r="G30" i="220" s="1"/>
  <c r="L24" i="220"/>
  <c r="L30" i="220" s="1"/>
  <c r="F24" i="220"/>
  <c r="F30" i="220" s="1"/>
  <c r="G146" i="224" l="1"/>
  <c r="G148" i="224" s="1"/>
  <c r="G149" i="224" s="1"/>
  <c r="F220" i="220"/>
  <c r="F222" i="220" s="1"/>
  <c r="F223" i="220" s="1"/>
  <c r="G221" i="279"/>
  <c r="G223" i="279" s="1"/>
  <c r="G224" i="279" s="1"/>
  <c r="G295" i="219"/>
  <c r="G297" i="219" s="1"/>
  <c r="G298" i="219" s="1"/>
  <c r="H215" i="273"/>
  <c r="H217" i="273" s="1"/>
  <c r="H218" i="273" s="1"/>
  <c r="G264" i="278"/>
  <c r="G266" i="278" s="1"/>
  <c r="G267" i="278" s="1"/>
  <c r="E44" i="250"/>
  <c r="G44" i="250" s="1"/>
  <c r="O73" i="275"/>
  <c r="O75" i="275" s="1"/>
  <c r="O76" i="275" s="1"/>
  <c r="E33" i="250"/>
  <c r="G33" i="250" s="1"/>
  <c r="E18" i="250" l="1" a="1"/>
  <c r="G23" i="250" s="1"/>
  <c r="F157" i="220"/>
  <c r="F159" i="220" s="1"/>
  <c r="F161" i="220" s="1"/>
  <c r="F185" i="220"/>
  <c r="F187" i="220" s="1"/>
  <c r="F189" i="220" l="1"/>
  <c r="E18" i="250"/>
  <c r="G18" i="250" s="1"/>
  <c r="G21" i="250"/>
  <c r="G22" i="250"/>
  <c r="G19" i="250"/>
  <c r="G20" i="250"/>
  <c r="F164" i="220"/>
  <c r="F195" i="220" l="1"/>
  <c r="F196" i="220" s="1"/>
  <c r="F208" i="220"/>
  <c r="F216" i="220"/>
  <c r="F204" i="220"/>
  <c r="F212" i="220"/>
  <c r="G25" i="250"/>
  <c r="I102" i="228" l="1"/>
  <c r="H102" i="228"/>
  <c r="G102" i="228"/>
  <c r="F102" i="228"/>
  <c r="G133" i="220" l="1"/>
  <c r="F131" i="220"/>
  <c r="F133" i="220" s="1"/>
  <c r="G130" i="220"/>
  <c r="F128" i="220"/>
  <c r="G95" i="220"/>
  <c r="G69" i="220"/>
  <c r="G72" i="220" l="1"/>
  <c r="G73" i="220" s="1"/>
  <c r="G84" i="220" s="1"/>
  <c r="G96" i="220"/>
  <c r="G157" i="220" s="1"/>
  <c r="G159" i="220" s="1"/>
  <c r="G161" i="220" s="1"/>
  <c r="F130" i="220"/>
  <c r="F134" i="220"/>
  <c r="F136" i="220" s="1"/>
  <c r="F127" i="220"/>
  <c r="J256" i="224"/>
  <c r="J263" i="224"/>
  <c r="J334" i="224"/>
  <c r="J341" i="224" s="1"/>
  <c r="J343" i="224" s="1"/>
  <c r="G97" i="220"/>
  <c r="F138" i="220" l="1"/>
  <c r="F142" i="220" s="1"/>
  <c r="G164" i="220"/>
  <c r="G185" i="220"/>
  <c r="G187" i="220" s="1"/>
  <c r="G134" i="220"/>
  <c r="G136" i="220" s="1"/>
  <c r="J245" i="224"/>
  <c r="G127" i="220"/>
  <c r="K256" i="224"/>
  <c r="L256" i="224"/>
  <c r="K334" i="224"/>
  <c r="K341" i="224" s="1"/>
  <c r="K343" i="224" s="1"/>
  <c r="L334" i="224"/>
  <c r="L341" i="224" s="1"/>
  <c r="L343" i="224" s="1"/>
  <c r="G138" i="220" l="1"/>
  <c r="G142" i="220" s="1"/>
  <c r="G189" i="220"/>
  <c r="L245" i="224"/>
  <c r="K245" i="224"/>
  <c r="G195" i="220" l="1"/>
  <c r="G196" i="220" s="1"/>
  <c r="G204" i="220"/>
  <c r="G208" i="220"/>
  <c r="G216" i="220"/>
  <c r="G212" i="220"/>
  <c r="P122" i="275" l="1"/>
  <c r="P124" i="275" s="1"/>
  <c r="O326" i="224"/>
  <c r="O328" i="224" s="1"/>
  <c r="J106" i="275"/>
  <c r="J108" i="275" s="1"/>
  <c r="M295" i="224"/>
  <c r="M297" i="224" s="1"/>
  <c r="H106" i="275"/>
  <c r="H108" i="275" s="1"/>
  <c r="M106" i="275"/>
  <c r="M108" i="275" s="1"/>
  <c r="I326" i="224"/>
  <c r="I328" i="224" s="1"/>
  <c r="O106" i="275"/>
  <c r="O108" i="275" s="1"/>
  <c r="J136" i="275"/>
  <c r="J138" i="275" s="1"/>
  <c r="J295" i="224"/>
  <c r="J297" i="224" s="1"/>
  <c r="N295" i="224"/>
  <c r="N297" i="224" s="1"/>
  <c r="I106" i="275"/>
  <c r="I108" i="275" s="1"/>
  <c r="G136" i="275"/>
  <c r="G138" i="275" s="1"/>
  <c r="G295" i="224"/>
  <c r="G297" i="224" s="1"/>
  <c r="K326" i="224"/>
  <c r="K328" i="224" s="1"/>
  <c r="L136" i="275"/>
  <c r="L138" i="275" s="1"/>
  <c r="G106" i="275"/>
  <c r="G108" i="275" s="1"/>
  <c r="P136" i="275"/>
  <c r="P138" i="275" s="1"/>
  <c r="G326" i="224"/>
  <c r="G328" i="224" s="1"/>
  <c r="P295" i="224"/>
  <c r="P297" i="224" s="1"/>
  <c r="P326" i="224"/>
  <c r="P328" i="224" s="1"/>
  <c r="N136" i="275"/>
  <c r="N138" i="275" s="1"/>
  <c r="L106" i="275"/>
  <c r="L108" i="275" s="1"/>
  <c r="H326" i="224"/>
  <c r="H328" i="224" s="1"/>
  <c r="K106" i="275"/>
  <c r="K108" i="275" s="1"/>
  <c r="J326" i="224"/>
  <c r="J328" i="224" s="1"/>
  <c r="L295" i="224"/>
  <c r="L297" i="224" s="1"/>
  <c r="M326" i="224"/>
  <c r="M328" i="224" s="1"/>
  <c r="N106" i="275"/>
  <c r="N108" i="275" s="1"/>
  <c r="K136" i="275"/>
  <c r="K138" i="275" s="1"/>
  <c r="H295" i="224"/>
  <c r="H297" i="224" s="1"/>
  <c r="O295" i="224"/>
  <c r="O297" i="224" s="1"/>
  <c r="N326" i="224"/>
  <c r="N328" i="224" s="1"/>
  <c r="M136" i="275"/>
  <c r="M138" i="275" s="1"/>
  <c r="O136" i="275"/>
  <c r="O138" i="275" s="1"/>
  <c r="K295" i="224"/>
  <c r="K297" i="224" s="1"/>
  <c r="L326" i="224"/>
  <c r="L328" i="224" s="1"/>
  <c r="P106" i="275"/>
  <c r="P108" i="275" s="1"/>
  <c r="I136" i="275"/>
  <c r="I138" i="275" s="1"/>
  <c r="H136" i="275"/>
  <c r="H138" i="275" s="1"/>
  <c r="J48" i="219"/>
  <c r="J50" i="219" s="1"/>
  <c r="H140" i="219" l="1"/>
  <c r="H142" i="219" s="1"/>
  <c r="G121" i="220"/>
  <c r="H121" i="220"/>
  <c r="F121" i="220"/>
  <c r="F123" i="220" s="1"/>
  <c r="O129" i="224"/>
  <c r="K121" i="220"/>
  <c r="K123" i="220" s="1"/>
  <c r="K129" i="224"/>
  <c r="K131" i="224" s="1"/>
  <c r="O121" i="220"/>
  <c r="O123" i="220" s="1"/>
  <c r="I121" i="220"/>
  <c r="H129" i="224"/>
  <c r="P129" i="224"/>
  <c r="G129" i="224"/>
  <c r="J129" i="224"/>
  <c r="J131" i="224" s="1"/>
  <c r="L121" i="220"/>
  <c r="L123" i="220" s="1"/>
  <c r="J121" i="220"/>
  <c r="J123" i="220" s="1"/>
  <c r="I129" i="224"/>
  <c r="I131" i="224" s="1"/>
  <c r="L129" i="224"/>
  <c r="M129" i="224"/>
  <c r="N129" i="224"/>
  <c r="M121" i="220"/>
  <c r="M123" i="220" s="1"/>
  <c r="N121" i="220"/>
  <c r="N123" i="220" s="1"/>
  <c r="M48" i="219"/>
  <c r="M50" i="219" s="1"/>
  <c r="L48" i="219"/>
  <c r="L50" i="219" s="1"/>
  <c r="O48" i="219"/>
  <c r="O50" i="219" s="1"/>
  <c r="N48" i="219"/>
  <c r="N50" i="219" s="1"/>
  <c r="P48" i="219"/>
  <c r="P50" i="219" s="1"/>
  <c r="H48" i="219"/>
  <c r="H50" i="219" s="1"/>
  <c r="N166" i="279"/>
  <c r="N168" i="279" s="1"/>
  <c r="O166" i="279"/>
  <c r="O168" i="279" s="1"/>
  <c r="K166" i="279"/>
  <c r="K168" i="279" s="1"/>
  <c r="H166" i="279"/>
  <c r="H168" i="279" s="1"/>
  <c r="P166" i="279"/>
  <c r="P168" i="279" s="1"/>
  <c r="M166" i="279"/>
  <c r="M168" i="279" s="1"/>
  <c r="I166" i="279"/>
  <c r="I168" i="279" s="1"/>
  <c r="G166" i="279"/>
  <c r="G168" i="279" s="1"/>
  <c r="J166" i="279"/>
  <c r="J168" i="279" s="1"/>
  <c r="L166" i="279"/>
  <c r="L168" i="279" s="1"/>
  <c r="H416" i="279"/>
  <c r="P416" i="279"/>
  <c r="M176" i="278"/>
  <c r="L207" i="219"/>
  <c r="I416" i="279"/>
  <c r="G416" i="279"/>
  <c r="N176" i="278"/>
  <c r="M207" i="219"/>
  <c r="J416" i="279"/>
  <c r="P176" i="278"/>
  <c r="O176" i="278"/>
  <c r="N207" i="219"/>
  <c r="H176" i="278"/>
  <c r="G176" i="278"/>
  <c r="O207" i="219"/>
  <c r="I176" i="278"/>
  <c r="H207" i="219"/>
  <c r="J176" i="278"/>
  <c r="L176" i="278"/>
  <c r="P207" i="219"/>
  <c r="I207" i="219"/>
  <c r="K416" i="279"/>
  <c r="K176" i="278"/>
  <c r="L416" i="279"/>
  <c r="N416" i="279"/>
  <c r="J207" i="219"/>
  <c r="K207" i="219"/>
  <c r="M416" i="279"/>
  <c r="G207" i="219"/>
  <c r="O416" i="279"/>
  <c r="I295" i="224"/>
  <c r="I297" i="224" s="1"/>
  <c r="I140" i="219"/>
  <c r="I142" i="219" s="1"/>
  <c r="J140" i="219"/>
  <c r="J142" i="219" s="1"/>
  <c r="P131" i="224"/>
  <c r="H131" i="224"/>
  <c r="N131" i="224"/>
  <c r="L131" i="224"/>
  <c r="O131" i="224"/>
  <c r="G131" i="224"/>
  <c r="M131" i="224"/>
  <c r="H123" i="220"/>
  <c r="I123" i="220"/>
  <c r="G123" i="220"/>
  <c r="P258" i="224"/>
  <c r="P260" i="224" s="1"/>
  <c r="L258" i="224"/>
  <c r="K319" i="224"/>
  <c r="K321" i="224" s="1"/>
  <c r="G288" i="224"/>
  <c r="G290" i="224" s="1"/>
  <c r="O258" i="224"/>
  <c r="O260" i="224" s="1"/>
  <c r="K258" i="224"/>
  <c r="H258" i="224"/>
  <c r="H260" i="224" s="1"/>
  <c r="H319" i="224"/>
  <c r="H321" i="224" s="1"/>
  <c r="N258" i="224"/>
  <c r="N260" i="224" s="1"/>
  <c r="M288" i="224"/>
  <c r="M290" i="224" s="1"/>
  <c r="J288" i="224"/>
  <c r="J290" i="224" s="1"/>
  <c r="J258" i="224"/>
  <c r="J260" i="224" s="1"/>
  <c r="P288" i="224"/>
  <c r="P290" i="224" s="1"/>
  <c r="I319" i="224"/>
  <c r="I321" i="224" s="1"/>
  <c r="L319" i="224"/>
  <c r="L321" i="224" s="1"/>
  <c r="H288" i="224"/>
  <c r="H290" i="224" s="1"/>
  <c r="O288" i="224"/>
  <c r="O290" i="224" s="1"/>
  <c r="G319" i="224"/>
  <c r="G321" i="224" s="1"/>
  <c r="G258" i="224"/>
  <c r="G260" i="224" s="1"/>
  <c r="O319" i="224"/>
  <c r="O321" i="224" s="1"/>
  <c r="N288" i="224"/>
  <c r="N290" i="224" s="1"/>
  <c r="L288" i="224"/>
  <c r="L290" i="224" s="1"/>
  <c r="I288" i="224"/>
  <c r="I290" i="224" s="1"/>
  <c r="I258" i="224"/>
  <c r="I260" i="224" s="1"/>
  <c r="P319" i="224"/>
  <c r="P321" i="224" s="1"/>
  <c r="J319" i="224"/>
  <c r="J321" i="224" s="1"/>
  <c r="M319" i="224"/>
  <c r="M321" i="224" s="1"/>
  <c r="M258" i="224"/>
  <c r="M260" i="224" s="1"/>
  <c r="K288" i="224"/>
  <c r="K290" i="224" s="1"/>
  <c r="N319" i="224"/>
  <c r="N321" i="224" s="1"/>
  <c r="P129" i="275"/>
  <c r="P131" i="275" s="1"/>
  <c r="J99" i="275"/>
  <c r="J101" i="275" s="1"/>
  <c r="O129" i="275"/>
  <c r="O131" i="275" s="1"/>
  <c r="O99" i="275"/>
  <c r="O101" i="275" s="1"/>
  <c r="I129" i="275"/>
  <c r="I131" i="275" s="1"/>
  <c r="N99" i="275"/>
  <c r="N101" i="275" s="1"/>
  <c r="H99" i="275"/>
  <c r="H101" i="275" s="1"/>
  <c r="M129" i="275"/>
  <c r="M131" i="275" s="1"/>
  <c r="P99" i="275"/>
  <c r="P101" i="275" s="1"/>
  <c r="L99" i="275"/>
  <c r="L101" i="275" s="1"/>
  <c r="J129" i="275"/>
  <c r="J131" i="275" s="1"/>
  <c r="M99" i="275"/>
  <c r="M101" i="275" s="1"/>
  <c r="I99" i="275"/>
  <c r="I101" i="275" s="1"/>
  <c r="L129" i="275"/>
  <c r="L131" i="275" s="1"/>
  <c r="H129" i="275"/>
  <c r="H131" i="275" s="1"/>
  <c r="K99" i="275"/>
  <c r="K101" i="275" s="1"/>
  <c r="K129" i="275"/>
  <c r="K131" i="275" s="1"/>
  <c r="N129" i="275"/>
  <c r="N131" i="275" s="1"/>
  <c r="J122" i="275"/>
  <c r="J124" i="275" s="1"/>
  <c r="H281" i="224"/>
  <c r="H283" i="224" s="1"/>
  <c r="J92" i="275"/>
  <c r="J94" i="275" s="1"/>
  <c r="K92" i="275"/>
  <c r="K94" i="275" s="1"/>
  <c r="L281" i="224"/>
  <c r="L283" i="224" s="1"/>
  <c r="O281" i="224"/>
  <c r="O283" i="224" s="1"/>
  <c r="P312" i="224"/>
  <c r="P314" i="224" s="1"/>
  <c r="N122" i="275"/>
  <c r="N124" i="275" s="1"/>
  <c r="P251" i="224"/>
  <c r="P253" i="224" s="1"/>
  <c r="J281" i="224"/>
  <c r="J283" i="224" s="1"/>
  <c r="K122" i="275"/>
  <c r="K124" i="275" s="1"/>
  <c r="L251" i="224"/>
  <c r="L253" i="224" s="1"/>
  <c r="N92" i="275"/>
  <c r="N94" i="275" s="1"/>
  <c r="P92" i="275"/>
  <c r="P94" i="275" s="1"/>
  <c r="N281" i="224"/>
  <c r="N283" i="224" s="1"/>
  <c r="L312" i="224"/>
  <c r="L314" i="224" s="1"/>
  <c r="K281" i="224"/>
  <c r="K283" i="224" s="1"/>
  <c r="H122" i="275"/>
  <c r="H124" i="275" s="1"/>
  <c r="J251" i="224"/>
  <c r="J253" i="224" s="1"/>
  <c r="P281" i="224"/>
  <c r="P283" i="224" s="1"/>
  <c r="G122" i="275"/>
  <c r="G124" i="275" s="1"/>
  <c r="H92" i="275"/>
  <c r="H94" i="275" s="1"/>
  <c r="O251" i="224"/>
  <c r="O253" i="224" s="1"/>
  <c r="N312" i="224"/>
  <c r="N314" i="224" s="1"/>
  <c r="G92" i="275"/>
  <c r="G94" i="275" s="1"/>
  <c r="N251" i="224"/>
  <c r="N253" i="224" s="1"/>
  <c r="G251" i="224"/>
  <c r="G253" i="224" s="1"/>
  <c r="I122" i="275"/>
  <c r="I124" i="275" s="1"/>
  <c r="L122" i="275"/>
  <c r="L124" i="275" s="1"/>
  <c r="M312" i="224"/>
  <c r="M314" i="224" s="1"/>
  <c r="K251" i="224"/>
  <c r="K253" i="224" s="1"/>
  <c r="I251" i="224"/>
  <c r="I253" i="224" s="1"/>
  <c r="M122" i="275"/>
  <c r="M124" i="275" s="1"/>
  <c r="O122" i="275"/>
  <c r="O124" i="275" s="1"/>
  <c r="K312" i="224"/>
  <c r="K314" i="224" s="1"/>
  <c r="G312" i="224"/>
  <c r="G314" i="224" s="1"/>
  <c r="L92" i="275"/>
  <c r="L94" i="275" s="1"/>
  <c r="I92" i="275"/>
  <c r="I94" i="275" s="1"/>
  <c r="M251" i="224"/>
  <c r="M253" i="224" s="1"/>
  <c r="O312" i="224"/>
  <c r="O314" i="224" s="1"/>
  <c r="J312" i="224"/>
  <c r="J314" i="224" s="1"/>
  <c r="M92" i="275"/>
  <c r="M94" i="275" s="1"/>
  <c r="H251" i="224"/>
  <c r="H253" i="224" s="1"/>
  <c r="O92" i="275"/>
  <c r="O94" i="275" s="1"/>
  <c r="G281" i="224"/>
  <c r="G283" i="224" s="1"/>
  <c r="M281" i="224"/>
  <c r="M283" i="224" s="1"/>
  <c r="I312" i="224"/>
  <c r="I314" i="224" s="1"/>
  <c r="H312" i="224"/>
  <c r="H314" i="224" s="1"/>
  <c r="I281" i="224"/>
  <c r="I283" i="224" s="1"/>
  <c r="O265" i="224"/>
  <c r="O267" i="224" s="1"/>
  <c r="K140" i="219"/>
  <c r="K142" i="219" s="1"/>
  <c r="K265" i="224"/>
  <c r="K267" i="224" s="1"/>
  <c r="J265" i="224"/>
  <c r="J267" i="224" s="1"/>
  <c r="P265" i="224"/>
  <c r="P267" i="224" s="1"/>
  <c r="I265" i="224"/>
  <c r="I267" i="224" s="1"/>
  <c r="P360" i="279"/>
  <c r="P362" i="279" s="1"/>
  <c r="O360" i="279"/>
  <c r="O362" i="279" s="1"/>
  <c r="N360" i="279"/>
  <c r="N362" i="279" s="1"/>
  <c r="K360" i="279"/>
  <c r="K362" i="279" s="1"/>
  <c r="L360" i="279"/>
  <c r="L362" i="279" s="1"/>
  <c r="M360" i="279"/>
  <c r="M362" i="279" s="1"/>
  <c r="P140" i="219"/>
  <c r="P142" i="219" s="1"/>
  <c r="M140" i="219"/>
  <c r="M142" i="219" s="1"/>
  <c r="L140" i="219"/>
  <c r="L142" i="219" s="1"/>
  <c r="N140" i="219"/>
  <c r="N142" i="219" s="1"/>
  <c r="O140" i="219"/>
  <c r="O142" i="219" s="1"/>
  <c r="G360" i="279"/>
  <c r="G362" i="279" s="1"/>
  <c r="K120" i="278"/>
  <c r="K122" i="278" s="1"/>
  <c r="G120" i="278"/>
  <c r="G122" i="278" s="1"/>
  <c r="K48" i="219"/>
  <c r="K50" i="219" s="1"/>
  <c r="I48" i="219"/>
  <c r="I50" i="219" s="1"/>
  <c r="G48" i="219"/>
  <c r="G50" i="219" s="1"/>
  <c r="G265" i="224"/>
  <c r="G267" i="224" s="1"/>
  <c r="G140" i="219"/>
  <c r="G142" i="219" s="1"/>
  <c r="L265" i="224"/>
  <c r="L267" i="224" s="1"/>
  <c r="M265" i="224"/>
  <c r="M267" i="224" s="1"/>
  <c r="N265" i="224"/>
  <c r="N267" i="224" s="1"/>
  <c r="H265" i="224"/>
  <c r="H267" i="224" s="1"/>
  <c r="G129" i="275"/>
  <c r="G131" i="275" s="1"/>
  <c r="G99" i="275"/>
  <c r="G101" i="275" s="1"/>
  <c r="M35" i="278" l="1"/>
  <c r="K35" i="278"/>
  <c r="J35" i="278"/>
  <c r="G35" i="278"/>
  <c r="G37" i="278" s="1"/>
  <c r="G38" i="278" s="1"/>
  <c r="I35" i="278"/>
  <c r="H35" i="278"/>
  <c r="H37" i="278" s="1"/>
  <c r="H38" i="278" s="1"/>
  <c r="O35" i="278"/>
  <c r="O37" i="278" s="1"/>
  <c r="O38" i="278" s="1"/>
  <c r="P35" i="278"/>
  <c r="P37" i="278" s="1"/>
  <c r="P38" i="278" s="1"/>
  <c r="N35" i="278"/>
  <c r="L35" i="278"/>
  <c r="L37" i="278" s="1"/>
  <c r="L38" i="278" s="1"/>
  <c r="O111" i="220"/>
  <c r="O113" i="220" s="1"/>
  <c r="G111" i="220"/>
  <c r="G113" i="220" s="1"/>
  <c r="M99" i="220"/>
  <c r="M101" i="220" s="1"/>
  <c r="N111" i="220"/>
  <c r="N113" i="220" s="1"/>
  <c r="F111" i="220"/>
  <c r="F113" i="220" s="1"/>
  <c r="N99" i="220"/>
  <c r="N101" i="220" s="1"/>
  <c r="M111" i="220"/>
  <c r="M113" i="220" s="1"/>
  <c r="G99" i="220"/>
  <c r="O99" i="220"/>
  <c r="O101" i="220" s="1"/>
  <c r="L111" i="220"/>
  <c r="L113" i="220" s="1"/>
  <c r="H99" i="220"/>
  <c r="H101" i="220" s="1"/>
  <c r="F99" i="220"/>
  <c r="I111" i="220"/>
  <c r="I113" i="220" s="1"/>
  <c r="K111" i="220"/>
  <c r="K113" i="220" s="1"/>
  <c r="I99" i="220"/>
  <c r="I101" i="220" s="1"/>
  <c r="K99" i="220"/>
  <c r="K101" i="220" s="1"/>
  <c r="J111" i="220"/>
  <c r="J113" i="220" s="1"/>
  <c r="J99" i="220"/>
  <c r="J101" i="220" s="1"/>
  <c r="H111" i="220"/>
  <c r="H113" i="220" s="1"/>
  <c r="L99" i="220"/>
  <c r="L101" i="220" s="1"/>
  <c r="O288" i="279"/>
  <c r="O290" i="279" s="1"/>
  <c r="G288" i="279"/>
  <c r="G290" i="279" s="1"/>
  <c r="N288" i="279"/>
  <c r="N290" i="279" s="1"/>
  <c r="M288" i="279"/>
  <c r="M290" i="279" s="1"/>
  <c r="L288" i="279"/>
  <c r="L290" i="279" s="1"/>
  <c r="K288" i="279"/>
  <c r="K290" i="279" s="1"/>
  <c r="I288" i="279"/>
  <c r="I290" i="279" s="1"/>
  <c r="P288" i="279"/>
  <c r="P290" i="279" s="1"/>
  <c r="H288" i="279"/>
  <c r="H290" i="279" s="1"/>
  <c r="J288" i="279"/>
  <c r="J290" i="279" s="1"/>
  <c r="P48" i="278"/>
  <c r="P50" i="278" s="1"/>
  <c r="H48" i="278"/>
  <c r="H50" i="278" s="1"/>
  <c r="O48" i="278"/>
  <c r="O50" i="278" s="1"/>
  <c r="G48" i="278"/>
  <c r="N48" i="278"/>
  <c r="N50" i="278" s="1"/>
  <c r="M48" i="278"/>
  <c r="M50" i="278" s="1"/>
  <c r="L48" i="278"/>
  <c r="L50" i="278" s="1"/>
  <c r="J48" i="278"/>
  <c r="J50" i="278" s="1"/>
  <c r="I48" i="278"/>
  <c r="I50" i="278" s="1"/>
  <c r="K48" i="278"/>
  <c r="K50" i="278" s="1"/>
  <c r="I86" i="220"/>
  <c r="I88" i="220" s="1"/>
  <c r="K53" i="220"/>
  <c r="K55" i="220" s="1"/>
  <c r="J42" i="220"/>
  <c r="J44" i="220" s="1"/>
  <c r="J53" i="220"/>
  <c r="J55" i="220" s="1"/>
  <c r="J86" i="220"/>
  <c r="J88" i="220" s="1"/>
  <c r="L53" i="220"/>
  <c r="L55" i="220" s="1"/>
  <c r="K42" i="220"/>
  <c r="K44" i="220" s="1"/>
  <c r="K86" i="220"/>
  <c r="K88" i="220" s="1"/>
  <c r="M53" i="220"/>
  <c r="M55" i="220" s="1"/>
  <c r="L42" i="220"/>
  <c r="L44" i="220" s="1"/>
  <c r="I42" i="220"/>
  <c r="I44" i="220" s="1"/>
  <c r="L86" i="220"/>
  <c r="L88" i="220" s="1"/>
  <c r="N53" i="220"/>
  <c r="N55" i="220" s="1"/>
  <c r="M42" i="220"/>
  <c r="M44" i="220" s="1"/>
  <c r="H86" i="220"/>
  <c r="H88" i="220" s="1"/>
  <c r="M86" i="220"/>
  <c r="M88" i="220" s="1"/>
  <c r="N42" i="220"/>
  <c r="N44" i="220" s="1"/>
  <c r="N86" i="220"/>
  <c r="N88" i="220" s="1"/>
  <c r="O86" i="220"/>
  <c r="O88" i="220" s="1"/>
  <c r="I53" i="220"/>
  <c r="I55" i="220" s="1"/>
  <c r="G68" i="219"/>
  <c r="G70" i="219" s="1"/>
  <c r="H68" i="219"/>
  <c r="H70" i="219" s="1"/>
  <c r="I68" i="219"/>
  <c r="I70" i="219" s="1"/>
  <c r="J68" i="219"/>
  <c r="J70" i="219" s="1"/>
  <c r="G42" i="220"/>
  <c r="G44" i="220" s="1"/>
  <c r="K68" i="219"/>
  <c r="K70" i="219" s="1"/>
  <c r="G53" i="220"/>
  <c r="H53" i="220"/>
  <c r="F53" i="220"/>
  <c r="F86" i="220"/>
  <c r="F88" i="220" s="1"/>
  <c r="O53" i="220"/>
  <c r="G86" i="220"/>
  <c r="G88" i="220" s="1"/>
  <c r="F42" i="220"/>
  <c r="F44" i="220" s="1"/>
  <c r="O42" i="220"/>
  <c r="O44" i="220" s="1"/>
  <c r="H42" i="220"/>
  <c r="H44" i="220" s="1"/>
  <c r="O68" i="219"/>
  <c r="O70" i="219" s="1"/>
  <c r="N68" i="219"/>
  <c r="N70" i="219" s="1"/>
  <c r="M68" i="219"/>
  <c r="M70" i="219" s="1"/>
  <c r="L68" i="219"/>
  <c r="L70" i="219" s="1"/>
  <c r="P68" i="219"/>
  <c r="P70" i="219" s="1"/>
  <c r="I37" i="278" l="1"/>
  <c r="I38" i="278" s="1"/>
  <c r="J37" i="278"/>
  <c r="J38" i="278" s="1"/>
  <c r="K37" i="278"/>
  <c r="K38" i="278" s="1"/>
  <c r="N37" i="278"/>
  <c r="N38" i="278" s="1"/>
  <c r="M37" i="278"/>
  <c r="M38" i="278" s="1"/>
  <c r="K316" i="219"/>
  <c r="N316" i="219"/>
  <c r="M316" i="219"/>
  <c r="L316" i="219"/>
  <c r="P316" i="219"/>
  <c r="O316" i="219"/>
  <c r="G15" i="220" l="1"/>
  <c r="H15" i="220"/>
  <c r="O15" i="220"/>
  <c r="F15" i="220"/>
  <c r="G262" i="220" l="1"/>
  <c r="F262" i="220"/>
  <c r="P114" i="273" l="1"/>
  <c r="L114" i="273"/>
  <c r="N114" i="273"/>
  <c r="M114" i="273"/>
  <c r="I114" i="273"/>
  <c r="H114" i="273"/>
  <c r="Q114" i="273"/>
  <c r="K114" i="273"/>
  <c r="O114" i="273"/>
  <c r="J114" i="273"/>
  <c r="I91" i="219"/>
  <c r="I93" i="219" s="1"/>
  <c r="O146" i="219" l="1"/>
  <c r="H146" i="219"/>
  <c r="H148" i="219" s="1"/>
  <c r="P146" i="219"/>
  <c r="I146" i="219"/>
  <c r="I148" i="219" s="1"/>
  <c r="G146" i="219"/>
  <c r="J146" i="219"/>
  <c r="J148" i="219" s="1"/>
  <c r="K146" i="219"/>
  <c r="M146" i="219"/>
  <c r="L146" i="219"/>
  <c r="N146" i="219"/>
  <c r="L71" i="278"/>
  <c r="L73" i="278" s="1"/>
  <c r="G91" i="219"/>
  <c r="G93" i="219" s="1"/>
  <c r="P91" i="219"/>
  <c r="P93" i="219" s="1"/>
  <c r="O91" i="219"/>
  <c r="O93" i="219" s="1"/>
  <c r="K91" i="219"/>
  <c r="K93" i="219" s="1"/>
  <c r="N71" i="278"/>
  <c r="N73" i="278" s="1"/>
  <c r="H91" i="219"/>
  <c r="H93" i="219" s="1"/>
  <c r="P71" i="278"/>
  <c r="P73" i="278" s="1"/>
  <c r="O71" i="278"/>
  <c r="O73" i="278" s="1"/>
  <c r="H71" i="278"/>
  <c r="H73" i="278" s="1"/>
  <c r="N91" i="219"/>
  <c r="N93" i="219" s="1"/>
  <c r="K71" i="278"/>
  <c r="K73" i="278" s="1"/>
  <c r="M91" i="219"/>
  <c r="M93" i="219" s="1"/>
  <c r="G71" i="278"/>
  <c r="G73" i="278" s="1"/>
  <c r="L91" i="219"/>
  <c r="L93" i="219" s="1"/>
  <c r="M71" i="278"/>
  <c r="M73" i="278" s="1"/>
  <c r="G167" i="220" l="1"/>
  <c r="G41" i="228"/>
  <c r="F167" i="220"/>
  <c r="I41" i="228"/>
  <c r="H41" i="228"/>
  <c r="F41" i="228"/>
  <c r="K260" i="224"/>
  <c r="L260" i="224"/>
  <c r="I325" i="279" l="1"/>
  <c r="I327" i="279" s="1"/>
  <c r="H149" i="219"/>
  <c r="H151" i="219" s="1"/>
  <c r="K129" i="278"/>
  <c r="K131" i="278" s="1"/>
  <c r="H125" i="219"/>
  <c r="H127" i="219" s="1"/>
  <c r="J234" i="224"/>
  <c r="P234" i="224"/>
  <c r="N234" i="224"/>
  <c r="L234" i="224"/>
  <c r="K234" i="224"/>
  <c r="O234" i="224"/>
  <c r="M234" i="224"/>
  <c r="M102" i="219" l="1"/>
  <c r="H102" i="219"/>
  <c r="O102" i="219"/>
  <c r="P102" i="219"/>
  <c r="N102" i="219"/>
  <c r="L102" i="219"/>
  <c r="I102" i="219"/>
  <c r="I104" i="219" s="1"/>
  <c r="I125" i="219"/>
  <c r="I127" i="219" s="1"/>
  <c r="I83" i="219"/>
  <c r="I85" i="219" s="1"/>
  <c r="J125" i="219"/>
  <c r="J127" i="219" s="1"/>
  <c r="I112" i="219"/>
  <c r="I114" i="219" s="1"/>
  <c r="K149" i="219"/>
  <c r="K151" i="219" s="1"/>
  <c r="I149" i="219"/>
  <c r="I151" i="219" s="1"/>
  <c r="J149" i="219"/>
  <c r="J151" i="219" s="1"/>
  <c r="H105" i="219"/>
  <c r="H107" i="219" s="1"/>
  <c r="G105" i="219"/>
  <c r="G107" i="219" s="1"/>
  <c r="M85" i="278"/>
  <c r="M87" i="278" s="1"/>
  <c r="P105" i="219"/>
  <c r="P107" i="219" s="1"/>
  <c r="I105" i="219"/>
  <c r="I107" i="219" s="1"/>
  <c r="K85" i="278"/>
  <c r="K87" i="278" s="1"/>
  <c r="K105" i="219"/>
  <c r="K107" i="219" s="1"/>
  <c r="L85" i="278"/>
  <c r="L87" i="278" s="1"/>
  <c r="K325" i="279"/>
  <c r="K327" i="279" s="1"/>
  <c r="L105" i="219"/>
  <c r="L107" i="219" s="1"/>
  <c r="M105" i="219"/>
  <c r="M107" i="219" s="1"/>
  <c r="P85" i="278"/>
  <c r="P87" i="278" s="1"/>
  <c r="N325" i="279"/>
  <c r="N327" i="279" s="1"/>
  <c r="M325" i="279"/>
  <c r="M327" i="279" s="1"/>
  <c r="N105" i="219"/>
  <c r="N107" i="219" s="1"/>
  <c r="I85" i="278"/>
  <c r="G325" i="279"/>
  <c r="G327" i="279" s="1"/>
  <c r="N85" i="278"/>
  <c r="N87" i="278" s="1"/>
  <c r="O105" i="219"/>
  <c r="O107" i="219" s="1"/>
  <c r="J85" i="278"/>
  <c r="O325" i="279"/>
  <c r="O327" i="279" s="1"/>
  <c r="G85" i="278"/>
  <c r="G87" i="278" s="1"/>
  <c r="H325" i="279"/>
  <c r="H327" i="279" s="1"/>
  <c r="O85" i="278"/>
  <c r="O87" i="278" s="1"/>
  <c r="L325" i="279"/>
  <c r="L327" i="279" s="1"/>
  <c r="P325" i="279"/>
  <c r="P327" i="279" s="1"/>
  <c r="J105" i="219"/>
  <c r="H85" i="278"/>
  <c r="H87" i="278" s="1"/>
  <c r="J325" i="279"/>
  <c r="G149" i="219"/>
  <c r="G151" i="219" s="1"/>
  <c r="G369" i="279"/>
  <c r="L369" i="279"/>
  <c r="M369" i="279"/>
  <c r="P369" i="279"/>
  <c r="P371" i="279" s="1"/>
  <c r="O369" i="279"/>
  <c r="K369" i="279"/>
  <c r="N369" i="279"/>
  <c r="P149" i="219"/>
  <c r="P151" i="219" s="1"/>
  <c r="N149" i="219"/>
  <c r="N151" i="219" s="1"/>
  <c r="O149" i="219"/>
  <c r="O151" i="219" s="1"/>
  <c r="L149" i="219"/>
  <c r="L151" i="219" s="1"/>
  <c r="M149" i="219"/>
  <c r="M151" i="219" s="1"/>
  <c r="M125" i="219"/>
  <c r="M127" i="219" s="1"/>
  <c r="O125" i="219"/>
  <c r="O127" i="219" s="1"/>
  <c r="L125" i="219"/>
  <c r="L127" i="219" s="1"/>
  <c r="N125" i="219"/>
  <c r="N127" i="219" s="1"/>
  <c r="P125" i="219"/>
  <c r="P127" i="219" s="1"/>
  <c r="G129" i="278"/>
  <c r="G131" i="278" s="1"/>
  <c r="P63" i="278"/>
  <c r="P65" i="278" s="1"/>
  <c r="K125" i="219"/>
  <c r="H112" i="219"/>
  <c r="P112" i="219"/>
  <c r="M83" i="219"/>
  <c r="H63" i="278"/>
  <c r="H65" i="278" s="1"/>
  <c r="N83" i="219"/>
  <c r="O83" i="219"/>
  <c r="K112" i="219"/>
  <c r="H83" i="219"/>
  <c r="P83" i="219"/>
  <c r="L112" i="219"/>
  <c r="G83" i="219"/>
  <c r="G125" i="219"/>
  <c r="N112" i="219"/>
  <c r="K83" i="219"/>
  <c r="M112" i="219"/>
  <c r="G112" i="219"/>
  <c r="O112" i="219"/>
  <c r="L83" i="219"/>
  <c r="L94" i="278"/>
  <c r="K84" i="278"/>
  <c r="K107" i="278"/>
  <c r="L84" i="278"/>
  <c r="L63" i="278"/>
  <c r="L65" i="278" s="1"/>
  <c r="N63" i="278"/>
  <c r="N65" i="278" s="1"/>
  <c r="K94" i="278"/>
  <c r="K63" i="278"/>
  <c r="K65" i="278" s="1"/>
  <c r="M63" i="278"/>
  <c r="M65" i="278" s="1"/>
  <c r="G63" i="278"/>
  <c r="G65" i="278" s="1"/>
  <c r="O63" i="278"/>
  <c r="O65" i="278" s="1"/>
  <c r="F101" i="220"/>
  <c r="G101" i="220"/>
  <c r="O55" i="220"/>
  <c r="G55" i="220"/>
  <c r="F55" i="220"/>
  <c r="H55" i="220"/>
  <c r="L371" i="279" l="1"/>
  <c r="N371" i="279"/>
  <c r="G371" i="279"/>
  <c r="K371" i="279"/>
  <c r="O371" i="279"/>
  <c r="M371" i="279"/>
  <c r="K163" i="272"/>
  <c r="K165" i="272" s="1"/>
  <c r="J163" i="272"/>
  <c r="J165" i="272" s="1"/>
  <c r="I163" i="272"/>
  <c r="I165" i="272" s="1"/>
  <c r="H163" i="272"/>
  <c r="H165" i="272" s="1"/>
  <c r="M163" i="272"/>
  <c r="M165" i="272" s="1"/>
  <c r="L163" i="272"/>
  <c r="L165" i="272" s="1"/>
  <c r="G163" i="272"/>
  <c r="G165" i="272" s="1"/>
  <c r="F163" i="272"/>
  <c r="F165" i="272" s="1"/>
  <c r="I182" i="224"/>
  <c r="I183" i="224" s="1"/>
  <c r="P182" i="224"/>
  <c r="P183" i="224" s="1"/>
  <c r="H182" i="224"/>
  <c r="H183" i="224" s="1"/>
  <c r="L182" i="224"/>
  <c r="L183" i="224" s="1"/>
  <c r="O182" i="224"/>
  <c r="O183" i="224" s="1"/>
  <c r="G182" i="224"/>
  <c r="G183" i="224" s="1"/>
  <c r="N182" i="224"/>
  <c r="N183" i="224" s="1"/>
  <c r="M182" i="224"/>
  <c r="M183" i="224" s="1"/>
  <c r="J182" i="224"/>
  <c r="J183" i="224" s="1"/>
  <c r="K182" i="224"/>
  <c r="K183" i="224" s="1"/>
  <c r="H179" i="273"/>
  <c r="H180" i="273" s="1"/>
  <c r="K46" i="228"/>
  <c r="K48" i="228" s="1"/>
  <c r="J46" i="228"/>
  <c r="J48" i="228" s="1"/>
  <c r="L46" i="228"/>
  <c r="L48" i="228" s="1"/>
  <c r="P46" i="228"/>
  <c r="P48" i="228" s="1"/>
  <c r="M46" i="228"/>
  <c r="M48" i="228" s="1"/>
  <c r="N46" i="228"/>
  <c r="N48" i="228" s="1"/>
  <c r="O46" i="228"/>
  <c r="O48" i="228" s="1"/>
  <c r="Q46" i="228"/>
  <c r="Q48" i="228" s="1"/>
  <c r="P206" i="279"/>
  <c r="P207" i="279" s="1"/>
  <c r="H206" i="279"/>
  <c r="H207" i="279" s="1"/>
  <c r="O206" i="279"/>
  <c r="O207" i="279" s="1"/>
  <c r="G206" i="279"/>
  <c r="G207" i="279" s="1"/>
  <c r="N206" i="279"/>
  <c r="N207" i="279" s="1"/>
  <c r="I206" i="279"/>
  <c r="I207" i="279" s="1"/>
  <c r="M206" i="279"/>
  <c r="M207" i="279" s="1"/>
  <c r="L206" i="279"/>
  <c r="L207" i="279" s="1"/>
  <c r="K206" i="279"/>
  <c r="K207" i="279" s="1"/>
  <c r="J206" i="279"/>
  <c r="J207" i="279" s="1"/>
  <c r="I46" i="228"/>
  <c r="I48" i="228" s="1"/>
  <c r="G46" i="228"/>
  <c r="G48" i="228" s="1"/>
  <c r="H46" i="228"/>
  <c r="H48" i="228" s="1"/>
  <c r="F46" i="228"/>
  <c r="F48" i="228" s="1"/>
  <c r="H173" i="275"/>
  <c r="H174" i="275" s="1"/>
  <c r="I173" i="275"/>
  <c r="I174" i="275" s="1"/>
  <c r="P370" i="224"/>
  <c r="P371" i="224" s="1"/>
  <c r="L370" i="224"/>
  <c r="L371" i="224" s="1"/>
  <c r="J370" i="224"/>
  <c r="J371" i="224" s="1"/>
  <c r="G370" i="224"/>
  <c r="G371" i="224" s="1"/>
  <c r="J179" i="273"/>
  <c r="J180" i="273" s="1"/>
  <c r="H370" i="224"/>
  <c r="H371" i="224" s="1"/>
  <c r="L179" i="273"/>
  <c r="L180" i="273" s="1"/>
  <c r="K370" i="224"/>
  <c r="K371" i="224" s="1"/>
  <c r="M247" i="219"/>
  <c r="M248" i="219" s="1"/>
  <c r="M179" i="273"/>
  <c r="M180" i="273" s="1"/>
  <c r="J172" i="220"/>
  <c r="J174" i="220" s="1"/>
  <c r="O172" i="220"/>
  <c r="O174" i="220" s="1"/>
  <c r="N370" i="224"/>
  <c r="N371" i="224" s="1"/>
  <c r="P173" i="275"/>
  <c r="P174" i="275" s="1"/>
  <c r="N172" i="220"/>
  <c r="N174" i="220" s="1"/>
  <c r="I216" i="278"/>
  <c r="I217" i="278" s="1"/>
  <c r="K216" i="278"/>
  <c r="K217" i="278" s="1"/>
  <c r="K455" i="279"/>
  <c r="K456" i="279" s="1"/>
  <c r="L216" i="278"/>
  <c r="L217" i="278" s="1"/>
  <c r="L455" i="279"/>
  <c r="L456" i="279" s="1"/>
  <c r="M455" i="279"/>
  <c r="M456" i="279" s="1"/>
  <c r="N247" i="219"/>
  <c r="N248" i="219" s="1"/>
  <c r="N179" i="273"/>
  <c r="N180" i="273" s="1"/>
  <c r="J173" i="275"/>
  <c r="J174" i="275" s="1"/>
  <c r="M172" i="220"/>
  <c r="M174" i="220" s="1"/>
  <c r="M216" i="278"/>
  <c r="M217" i="278" s="1"/>
  <c r="N455" i="279"/>
  <c r="N456" i="279" s="1"/>
  <c r="O370" i="224"/>
  <c r="O371" i="224" s="1"/>
  <c r="K179" i="273"/>
  <c r="K180" i="273" s="1"/>
  <c r="O179" i="273"/>
  <c r="O180" i="273" s="1"/>
  <c r="K173" i="275"/>
  <c r="K174" i="275" s="1"/>
  <c r="J247" i="219"/>
  <c r="J248" i="219" s="1"/>
  <c r="L172" i="220"/>
  <c r="L174" i="220" s="1"/>
  <c r="N216" i="278"/>
  <c r="N217" i="278" s="1"/>
  <c r="H455" i="279"/>
  <c r="H456" i="279" s="1"/>
  <c r="G455" i="279"/>
  <c r="G456" i="279" s="1"/>
  <c r="G172" i="220"/>
  <c r="G174" i="220" s="1"/>
  <c r="L247" i="219"/>
  <c r="L248" i="219" s="1"/>
  <c r="P179" i="273"/>
  <c r="P180" i="273" s="1"/>
  <c r="N173" i="275"/>
  <c r="N174" i="275" s="1"/>
  <c r="L173" i="275"/>
  <c r="L174" i="275" s="1"/>
  <c r="I247" i="219"/>
  <c r="I248" i="219" s="1"/>
  <c r="K172" i="220"/>
  <c r="K174" i="220" s="1"/>
  <c r="J216" i="278"/>
  <c r="J217" i="278" s="1"/>
  <c r="G216" i="278"/>
  <c r="G217" i="278" s="1"/>
  <c r="P455" i="279"/>
  <c r="P456" i="279" s="1"/>
  <c r="O455" i="279"/>
  <c r="O456" i="279" s="1"/>
  <c r="F172" i="220"/>
  <c r="F174" i="220" s="1"/>
  <c r="P247" i="219"/>
  <c r="P248" i="219" s="1"/>
  <c r="M370" i="224"/>
  <c r="M371" i="224" s="1"/>
  <c r="I179" i="273"/>
  <c r="I180" i="273" s="1"/>
  <c r="G173" i="275"/>
  <c r="G174" i="275" s="1"/>
  <c r="M173" i="275"/>
  <c r="M174" i="275" s="1"/>
  <c r="H247" i="219"/>
  <c r="H248" i="219" s="1"/>
  <c r="I172" i="220"/>
  <c r="I174" i="220" s="1"/>
  <c r="H216" i="278"/>
  <c r="H217" i="278" s="1"/>
  <c r="O216" i="278"/>
  <c r="O217" i="278" s="1"/>
  <c r="I455" i="279"/>
  <c r="I456" i="279" s="1"/>
  <c r="O247" i="219"/>
  <c r="O248" i="219" s="1"/>
  <c r="K247" i="219"/>
  <c r="K248" i="219" s="1"/>
  <c r="Q179" i="273"/>
  <c r="Q180" i="273" s="1"/>
  <c r="O173" i="275"/>
  <c r="O174" i="275" s="1"/>
  <c r="I370" i="224"/>
  <c r="I371" i="224" s="1"/>
  <c r="G247" i="219"/>
  <c r="G248" i="219" s="1"/>
  <c r="H172" i="220"/>
  <c r="H174" i="220" s="1"/>
  <c r="P216" i="278"/>
  <c r="P217" i="278" s="1"/>
  <c r="J455" i="279"/>
  <c r="J456" i="279" s="1"/>
  <c r="J18" i="220"/>
  <c r="J20" i="220" s="1"/>
  <c r="J33" i="220" s="1"/>
  <c r="K18" i="220"/>
  <c r="K20" i="220" s="1"/>
  <c r="K33" i="220" s="1"/>
  <c r="L18" i="220"/>
  <c r="L20" i="220" s="1"/>
  <c r="L33" i="220" s="1"/>
  <c r="I18" i="220"/>
  <c r="I20" i="220" s="1"/>
  <c r="I33" i="220" s="1"/>
  <c r="M18" i="220"/>
  <c r="M20" i="220" s="1"/>
  <c r="M33" i="220" s="1"/>
  <c r="N18" i="220"/>
  <c r="N20" i="220" s="1"/>
  <c r="N33" i="220" s="1"/>
  <c r="G18" i="220"/>
  <c r="G20" i="220" s="1"/>
  <c r="G33" i="220" s="1"/>
  <c r="O391" i="224" l="1"/>
  <c r="O393" i="224" s="1"/>
  <c r="O410" i="224" s="1"/>
  <c r="K191" i="275"/>
  <c r="K193" i="275" s="1"/>
  <c r="M193" i="273"/>
  <c r="M195" i="273" s="1"/>
  <c r="O191" i="275"/>
  <c r="O193" i="275" s="1"/>
  <c r="N191" i="275"/>
  <c r="N193" i="275" s="1"/>
  <c r="I391" i="224"/>
  <c r="I393" i="224" s="1"/>
  <c r="P391" i="224"/>
  <c r="P393" i="224" s="1"/>
  <c r="P410" i="224" s="1"/>
  <c r="J391" i="224"/>
  <c r="J393" i="224" s="1"/>
  <c r="J198" i="220"/>
  <c r="J200" i="220" s="1"/>
  <c r="K469" i="279"/>
  <c r="K471" i="279" s="1"/>
  <c r="K488" i="279" s="1"/>
  <c r="M198" i="220"/>
  <c r="M200" i="220" s="1"/>
  <c r="M191" i="275"/>
  <c r="M193" i="275" s="1"/>
  <c r="L391" i="224"/>
  <c r="L393" i="224" s="1"/>
  <c r="L410" i="224" s="1"/>
  <c r="P191" i="275"/>
  <c r="P193" i="275" s="1"/>
  <c r="L191" i="275"/>
  <c r="L193" i="275" s="1"/>
  <c r="N193" i="273"/>
  <c r="N195" i="273" s="1"/>
  <c r="M261" i="219"/>
  <c r="M263" i="219" s="1"/>
  <c r="M280" i="219" s="1"/>
  <c r="M391" i="224"/>
  <c r="M393" i="224" s="1"/>
  <c r="M410" i="224" s="1"/>
  <c r="N198" i="220"/>
  <c r="N200" i="220" s="1"/>
  <c r="J261" i="219"/>
  <c r="J263" i="219" s="1"/>
  <c r="L198" i="220"/>
  <c r="L200" i="220" s="1"/>
  <c r="P469" i="279"/>
  <c r="P471" i="279" s="1"/>
  <c r="P488" i="279" s="1"/>
  <c r="H191" i="275"/>
  <c r="H193" i="275" s="1"/>
  <c r="K198" i="220"/>
  <c r="K200" i="220" s="1"/>
  <c r="J469" i="279"/>
  <c r="J471" i="279" s="1"/>
  <c r="M230" i="278"/>
  <c r="M232" i="278" s="1"/>
  <c r="M249" i="278" s="1"/>
  <c r="I191" i="275"/>
  <c r="I193" i="275" s="1"/>
  <c r="P230" i="278"/>
  <c r="P232" i="278" s="1"/>
  <c r="P249" i="278" s="1"/>
  <c r="K261" i="219"/>
  <c r="K263" i="219" s="1"/>
  <c r="K280" i="219" s="1"/>
  <c r="K391" i="224"/>
  <c r="K393" i="224" s="1"/>
  <c r="K410" i="224" s="1"/>
  <c r="J230" i="278"/>
  <c r="J232" i="278" s="1"/>
  <c r="L261" i="219"/>
  <c r="L263" i="219" s="1"/>
  <c r="L280" i="219" s="1"/>
  <c r="J191" i="275"/>
  <c r="J193" i="275" s="1"/>
  <c r="H198" i="220"/>
  <c r="H200" i="220" s="1"/>
  <c r="I261" i="219"/>
  <c r="I263" i="219" s="1"/>
  <c r="H230" i="278"/>
  <c r="H232" i="278" s="1"/>
  <c r="H249" i="278" s="1"/>
  <c r="O230" i="278"/>
  <c r="O232" i="278" s="1"/>
  <c r="O249" i="278" s="1"/>
  <c r="H469" i="279"/>
  <c r="H471" i="279" s="1"/>
  <c r="H488" i="279" s="1"/>
  <c r="G198" i="220"/>
  <c r="G200" i="220" s="1"/>
  <c r="N230" i="278"/>
  <c r="N232" i="278" s="1"/>
  <c r="N249" i="278" s="1"/>
  <c r="N391" i="224"/>
  <c r="N393" i="224" s="1"/>
  <c r="N410" i="224" s="1"/>
  <c r="I198" i="220"/>
  <c r="I200" i="220" s="1"/>
  <c r="I230" i="278"/>
  <c r="I232" i="278" s="1"/>
  <c r="Q193" i="273"/>
  <c r="Q195" i="273" s="1"/>
  <c r="H261" i="219"/>
  <c r="H263" i="219" s="1"/>
  <c r="H280" i="219" s="1"/>
  <c r="H391" i="224"/>
  <c r="H393" i="224" s="1"/>
  <c r="H410" i="224" s="1"/>
  <c r="O193" i="273"/>
  <c r="O195" i="273" s="1"/>
  <c r="L193" i="273"/>
  <c r="L195" i="273" s="1"/>
  <c r="N261" i="219"/>
  <c r="N263" i="219" s="1"/>
  <c r="N280" i="219" s="1"/>
  <c r="O261" i="219"/>
  <c r="O263" i="219" s="1"/>
  <c r="O280" i="219" s="1"/>
  <c r="J193" i="273"/>
  <c r="J195" i="273" s="1"/>
  <c r="I193" i="273"/>
  <c r="I195" i="273" s="1"/>
  <c r="O198" i="220"/>
  <c r="O200" i="220" s="1"/>
  <c r="P193" i="273"/>
  <c r="P195" i="273" s="1"/>
  <c r="I469" i="279"/>
  <c r="I471" i="279" s="1"/>
  <c r="L469" i="279"/>
  <c r="L471" i="279" s="1"/>
  <c r="L488" i="279" s="1"/>
  <c r="L230" i="278"/>
  <c r="L232" i="278" s="1"/>
  <c r="L249" i="278" s="1"/>
  <c r="K230" i="278"/>
  <c r="K232" i="278" s="1"/>
  <c r="K249" i="278" s="1"/>
  <c r="N469" i="279"/>
  <c r="N471" i="279" s="1"/>
  <c r="N488" i="279" s="1"/>
  <c r="O469" i="279"/>
  <c r="O471" i="279" s="1"/>
  <c r="O488" i="279" s="1"/>
  <c r="M469" i="279"/>
  <c r="M471" i="279" s="1"/>
  <c r="M488" i="279" s="1"/>
  <c r="P261" i="219"/>
  <c r="P263" i="219" s="1"/>
  <c r="P280" i="219" s="1"/>
  <c r="K193" i="273"/>
  <c r="K195" i="273" s="1"/>
  <c r="G190" i="272"/>
  <c r="G192" i="272" s="1"/>
  <c r="H190" i="272"/>
  <c r="H192" i="272" s="1"/>
  <c r="M190" i="272"/>
  <c r="M192" i="272" s="1"/>
  <c r="L190" i="272"/>
  <c r="L192" i="272" s="1"/>
  <c r="I190" i="272"/>
  <c r="I192" i="272" s="1"/>
  <c r="J190" i="272"/>
  <c r="J192" i="272" s="1"/>
  <c r="K190" i="272"/>
  <c r="K192" i="272" s="1"/>
  <c r="K178" i="219"/>
  <c r="K180" i="219" s="1"/>
  <c r="J184" i="219"/>
  <c r="J186" i="219" s="1"/>
  <c r="H164" i="278"/>
  <c r="H166" i="278" s="1"/>
  <c r="P164" i="278"/>
  <c r="P166" i="278" s="1"/>
  <c r="K158" i="278"/>
  <c r="K160" i="278" s="1"/>
  <c r="I404" i="279"/>
  <c r="I406" i="279" s="1"/>
  <c r="G404" i="279"/>
  <c r="G406" i="279" s="1"/>
  <c r="O398" i="279"/>
  <c r="O400" i="279" s="1"/>
  <c r="P178" i="219"/>
  <c r="P180" i="219" s="1"/>
  <c r="M164" i="278"/>
  <c r="M166" i="278" s="1"/>
  <c r="N158" i="278"/>
  <c r="N160" i="278" s="1"/>
  <c r="L398" i="279"/>
  <c r="L400" i="279" s="1"/>
  <c r="L178" i="219"/>
  <c r="L180" i="219" s="1"/>
  <c r="K184" i="219"/>
  <c r="K186" i="219" s="1"/>
  <c r="I164" i="278"/>
  <c r="I166" i="278" s="1"/>
  <c r="G164" i="278"/>
  <c r="G166" i="278" s="1"/>
  <c r="J158" i="278"/>
  <c r="J160" i="278" s="1"/>
  <c r="J404" i="279"/>
  <c r="J406" i="279" s="1"/>
  <c r="H398" i="279"/>
  <c r="H400" i="279" s="1"/>
  <c r="P398" i="279"/>
  <c r="P400" i="279" s="1"/>
  <c r="M178" i="219"/>
  <c r="M180" i="219" s="1"/>
  <c r="L184" i="219"/>
  <c r="L186" i="219" s="1"/>
  <c r="J164" i="278"/>
  <c r="J166" i="278" s="1"/>
  <c r="I158" i="278"/>
  <c r="I160" i="278" s="1"/>
  <c r="K404" i="279"/>
  <c r="K406" i="279" s="1"/>
  <c r="I398" i="279"/>
  <c r="I400" i="279" s="1"/>
  <c r="G398" i="279"/>
  <c r="G400" i="279" s="1"/>
  <c r="N404" i="279"/>
  <c r="N406" i="279" s="1"/>
  <c r="N178" i="219"/>
  <c r="N180" i="219" s="1"/>
  <c r="M184" i="219"/>
  <c r="M186" i="219" s="1"/>
  <c r="K164" i="278"/>
  <c r="K166" i="278" s="1"/>
  <c r="P158" i="278"/>
  <c r="P160" i="278" s="1"/>
  <c r="H158" i="278"/>
  <c r="H160" i="278" s="1"/>
  <c r="G178" i="219"/>
  <c r="G180" i="219" s="1"/>
  <c r="L404" i="279"/>
  <c r="L406" i="279" s="1"/>
  <c r="J398" i="279"/>
  <c r="J400" i="279" s="1"/>
  <c r="O178" i="219"/>
  <c r="O180" i="219" s="1"/>
  <c r="N184" i="219"/>
  <c r="N186" i="219" s="1"/>
  <c r="L164" i="278"/>
  <c r="L166" i="278" s="1"/>
  <c r="O158" i="278"/>
  <c r="O160" i="278" s="1"/>
  <c r="G158" i="278"/>
  <c r="G160" i="278" s="1"/>
  <c r="M404" i="279"/>
  <c r="M406" i="279" s="1"/>
  <c r="K398" i="279"/>
  <c r="K400" i="279" s="1"/>
  <c r="I178" i="219"/>
  <c r="I180" i="219" s="1"/>
  <c r="H184" i="219"/>
  <c r="H186" i="219" s="1"/>
  <c r="P184" i="219"/>
  <c r="P186" i="219" s="1"/>
  <c r="N164" i="278"/>
  <c r="N166" i="278" s="1"/>
  <c r="M158" i="278"/>
  <c r="M160" i="278" s="1"/>
  <c r="O404" i="279"/>
  <c r="O406" i="279" s="1"/>
  <c r="M398" i="279"/>
  <c r="M400" i="279" s="1"/>
  <c r="J178" i="219"/>
  <c r="J180" i="219" s="1"/>
  <c r="I184" i="219"/>
  <c r="I186" i="219" s="1"/>
  <c r="G184" i="219"/>
  <c r="G186" i="219" s="1"/>
  <c r="O164" i="278"/>
  <c r="O166" i="278" s="1"/>
  <c r="L158" i="278"/>
  <c r="L160" i="278" s="1"/>
  <c r="H404" i="279"/>
  <c r="H406" i="279" s="1"/>
  <c r="P404" i="279"/>
  <c r="P406" i="279" s="1"/>
  <c r="N398" i="279"/>
  <c r="N400" i="279" s="1"/>
  <c r="H178" i="219"/>
  <c r="H180" i="219" s="1"/>
  <c r="O184" i="219"/>
  <c r="O186" i="219" s="1"/>
  <c r="G391" i="224" l="1"/>
  <c r="G393" i="224" s="1"/>
  <c r="G410" i="224" s="1"/>
  <c r="G191" i="275"/>
  <c r="G193" i="275" s="1"/>
  <c r="F198" i="220"/>
  <c r="F200" i="220" s="1"/>
  <c r="G469" i="279"/>
  <c r="G471" i="279" s="1"/>
  <c r="G488" i="279" s="1"/>
  <c r="G261" i="219"/>
  <c r="G263" i="219" s="1"/>
  <c r="G280" i="219" s="1"/>
  <c r="G230" i="278"/>
  <c r="G232" i="278" s="1"/>
  <c r="G249" i="278" s="1"/>
  <c r="H193" i="273"/>
  <c r="H195" i="273" s="1"/>
  <c r="H212" i="273" s="1"/>
  <c r="F190" i="272"/>
  <c r="F192" i="272" s="1"/>
  <c r="N212" i="273"/>
  <c r="M212" i="273"/>
  <c r="Q212" i="273"/>
  <c r="P212" i="273"/>
  <c r="L212" i="273"/>
  <c r="O212" i="273"/>
  <c r="I212" i="273"/>
  <c r="N152" i="278"/>
  <c r="N154" i="278" s="1"/>
  <c r="N167" i="278" s="1"/>
  <c r="K172" i="219"/>
  <c r="K174" i="219" s="1"/>
  <c r="K198" i="219" s="1"/>
  <c r="M392" i="279"/>
  <c r="M394" i="279" s="1"/>
  <c r="M407" i="279" s="1"/>
  <c r="P172" i="219"/>
  <c r="P174" i="219" s="1"/>
  <c r="P198" i="219" s="1"/>
  <c r="O152" i="278"/>
  <c r="O154" i="278" s="1"/>
  <c r="O167" i="278" s="1"/>
  <c r="L172" i="219"/>
  <c r="L174" i="219" s="1"/>
  <c r="L198" i="219" s="1"/>
  <c r="N392" i="279"/>
  <c r="N394" i="279" s="1"/>
  <c r="N407" i="279" s="1"/>
  <c r="H152" i="278"/>
  <c r="H154" i="278" s="1"/>
  <c r="H167" i="278" s="1"/>
  <c r="P152" i="278"/>
  <c r="P154" i="278" s="1"/>
  <c r="P167" i="278" s="1"/>
  <c r="M172" i="219"/>
  <c r="M174" i="219" s="1"/>
  <c r="M198" i="219" s="1"/>
  <c r="O392" i="279"/>
  <c r="O394" i="279" s="1"/>
  <c r="O407" i="279" s="1"/>
  <c r="I152" i="278"/>
  <c r="I154" i="278" s="1"/>
  <c r="I167" i="278" s="1"/>
  <c r="N172" i="219"/>
  <c r="N174" i="219" s="1"/>
  <c r="N198" i="219" s="1"/>
  <c r="H392" i="279"/>
  <c r="H394" i="279" s="1"/>
  <c r="H407" i="279" s="1"/>
  <c r="P392" i="279"/>
  <c r="P394" i="279" s="1"/>
  <c r="P407" i="279" s="1"/>
  <c r="H172" i="219"/>
  <c r="H174" i="219" s="1"/>
  <c r="H198" i="219" s="1"/>
  <c r="J152" i="278"/>
  <c r="J154" i="278" s="1"/>
  <c r="J167" i="278" s="1"/>
  <c r="O172" i="219"/>
  <c r="O174" i="219" s="1"/>
  <c r="O198" i="219" s="1"/>
  <c r="I392" i="279"/>
  <c r="I394" i="279" s="1"/>
  <c r="I407" i="279" s="1"/>
  <c r="G392" i="279"/>
  <c r="G394" i="279" s="1"/>
  <c r="G407" i="279" s="1"/>
  <c r="L152" i="278"/>
  <c r="L154" i="278" s="1"/>
  <c r="L167" i="278" s="1"/>
  <c r="I172" i="219"/>
  <c r="I174" i="219" s="1"/>
  <c r="I198" i="219" s="1"/>
  <c r="G152" i="278"/>
  <c r="G154" i="278" s="1"/>
  <c r="G167" i="278" s="1"/>
  <c r="K392" i="279"/>
  <c r="K394" i="279" s="1"/>
  <c r="K407" i="279" s="1"/>
  <c r="G172" i="219"/>
  <c r="G174" i="219" s="1"/>
  <c r="G198" i="219" s="1"/>
  <c r="M152" i="278"/>
  <c r="M154" i="278" s="1"/>
  <c r="M167" i="278" s="1"/>
  <c r="J172" i="219"/>
  <c r="J174" i="219" s="1"/>
  <c r="J198" i="219" s="1"/>
  <c r="L392" i="279"/>
  <c r="L394" i="279" s="1"/>
  <c r="L407" i="279" s="1"/>
  <c r="K152" i="278"/>
  <c r="K154" i="278" s="1"/>
  <c r="K167" i="278" s="1"/>
  <c r="J392" i="279"/>
  <c r="J394" i="279" s="1"/>
  <c r="J407" i="279" s="1"/>
  <c r="I203" i="224" l="1"/>
  <c r="I205" i="224" s="1"/>
  <c r="I211" i="224" s="1"/>
  <c r="G50" i="275"/>
  <c r="G52" i="275" s="1"/>
  <c r="I50" i="275"/>
  <c r="I52" i="275" s="1"/>
  <c r="H236" i="220"/>
  <c r="H238" i="220" s="1"/>
  <c r="H76" i="228"/>
  <c r="H78" i="228" s="1"/>
  <c r="J50" i="275"/>
  <c r="J52" i="275" s="1"/>
  <c r="I76" i="228"/>
  <c r="J237" i="279"/>
  <c r="I236" i="220"/>
  <c r="I238" i="220" l="1"/>
  <c r="I244" i="220" s="1"/>
  <c r="I78" i="228"/>
  <c r="I84" i="228" s="1"/>
  <c r="J239" i="279"/>
  <c r="J245" i="279" s="1"/>
  <c r="H42" i="273"/>
  <c r="H44" i="273" s="1"/>
  <c r="I12" i="272" l="1"/>
  <c r="I14" i="272" s="1"/>
  <c r="L12" i="272"/>
  <c r="L14" i="272" s="1"/>
  <c r="J12" i="272"/>
  <c r="J14" i="272" s="1"/>
  <c r="K12" i="272"/>
  <c r="K14" i="272" s="1"/>
  <c r="H62" i="272"/>
  <c r="H64" i="272" s="1"/>
  <c r="J62" i="272"/>
  <c r="J64" i="272" s="1"/>
  <c r="K62" i="272"/>
  <c r="K64" i="272" s="1"/>
  <c r="L62" i="272"/>
  <c r="L64" i="272" s="1"/>
  <c r="I62" i="272"/>
  <c r="I64" i="272" s="1"/>
  <c r="G62" i="272"/>
  <c r="G64" i="272" s="1"/>
  <c r="Q69" i="273"/>
  <c r="Q71" i="273" s="1"/>
  <c r="Q72" i="273" s="1"/>
  <c r="I69" i="273"/>
  <c r="I71" i="273" s="1"/>
  <c r="I72" i="273" s="1"/>
  <c r="P69" i="273"/>
  <c r="P71" i="273" s="1"/>
  <c r="P72" i="273" s="1"/>
  <c r="H69" i="273"/>
  <c r="H71" i="273" s="1"/>
  <c r="H72" i="273" s="1"/>
  <c r="O69" i="273"/>
  <c r="O71" i="273" s="1"/>
  <c r="O72" i="273" s="1"/>
  <c r="K69" i="273"/>
  <c r="K71" i="273" s="1"/>
  <c r="K72" i="273" s="1"/>
  <c r="N69" i="273"/>
  <c r="N71" i="273" s="1"/>
  <c r="N72" i="273" s="1"/>
  <c r="M69" i="273"/>
  <c r="M71" i="273" s="1"/>
  <c r="M72" i="273" s="1"/>
  <c r="J69" i="273"/>
  <c r="J71" i="273" s="1"/>
  <c r="J72" i="273" s="1"/>
  <c r="L69" i="273"/>
  <c r="L71" i="273" s="1"/>
  <c r="L72" i="273" s="1"/>
  <c r="M62" i="272"/>
  <c r="M64" i="272" s="1"/>
  <c r="F62" i="272"/>
  <c r="F64" i="272" s="1"/>
  <c r="Q14" i="228"/>
  <c r="Q16" i="228" s="1"/>
  <c r="Q17" i="228" s="1"/>
  <c r="N14" i="228"/>
  <c r="N16" i="228" s="1"/>
  <c r="N17" i="228" s="1"/>
  <c r="O14" i="228"/>
  <c r="O16" i="228" s="1"/>
  <c r="O17" i="228" s="1"/>
  <c r="P14" i="228"/>
  <c r="P16" i="228" s="1"/>
  <c r="P17" i="228" s="1"/>
  <c r="J14" i="228"/>
  <c r="J16" i="228" s="1"/>
  <c r="J17" i="228" s="1"/>
  <c r="K14" i="228"/>
  <c r="K16" i="228" s="1"/>
  <c r="K17" i="228" s="1"/>
  <c r="M14" i="228"/>
  <c r="M16" i="228" s="1"/>
  <c r="M17" i="228" s="1"/>
  <c r="L14" i="228"/>
  <c r="L16" i="228" s="1"/>
  <c r="L17" i="228" s="1"/>
  <c r="I42" i="273"/>
  <c r="I44" i="273" s="1"/>
  <c r="Q42" i="273"/>
  <c r="Q44" i="273" s="1"/>
  <c r="J42" i="273"/>
  <c r="J44" i="273" s="1"/>
  <c r="M42" i="273"/>
  <c r="M44" i="273" s="1"/>
  <c r="P42" i="273"/>
  <c r="P44" i="273" s="1"/>
  <c r="K42" i="273"/>
  <c r="K44" i="273" s="1"/>
  <c r="L42" i="273"/>
  <c r="L44" i="273" s="1"/>
  <c r="N42" i="273"/>
  <c r="N44" i="273" s="1"/>
  <c r="O42" i="273"/>
  <c r="O44" i="273" s="1"/>
  <c r="H12" i="224"/>
  <c r="H14" i="224" s="1"/>
  <c r="H15" i="224" s="1"/>
  <c r="H14" i="228"/>
  <c r="K12" i="224"/>
  <c r="K14" i="224" s="1"/>
  <c r="K15" i="224" s="1"/>
  <c r="L12" i="224"/>
  <c r="L14" i="224" s="1"/>
  <c r="L15" i="224" s="1"/>
  <c r="M12" i="224"/>
  <c r="M14" i="224" s="1"/>
  <c r="M15" i="224" s="1"/>
  <c r="N12" i="224"/>
  <c r="N14" i="224" s="1"/>
  <c r="N15" i="224" s="1"/>
  <c r="P12" i="224"/>
  <c r="P14" i="224" s="1"/>
  <c r="P15" i="224" s="1"/>
  <c r="F14" i="228"/>
  <c r="I12" i="224"/>
  <c r="I14" i="224" s="1"/>
  <c r="I15" i="224" s="1"/>
  <c r="J12" i="224"/>
  <c r="J14" i="224" s="1"/>
  <c r="J15" i="224" s="1"/>
  <c r="O12" i="224"/>
  <c r="O14" i="224" s="1"/>
  <c r="O15" i="224" s="1"/>
  <c r="G12" i="272"/>
  <c r="G14" i="272" s="1"/>
  <c r="H12" i="272"/>
  <c r="H14" i="272" s="1"/>
  <c r="M12" i="272"/>
  <c r="M14" i="272" s="1"/>
  <c r="F12" i="272"/>
  <c r="F14" i="272" s="1"/>
  <c r="L95" i="279"/>
  <c r="L97" i="279" s="1"/>
  <c r="M95" i="279"/>
  <c r="M97" i="279" s="1"/>
  <c r="N95" i="279"/>
  <c r="N97" i="279" s="1"/>
  <c r="O95" i="279"/>
  <c r="O97" i="279" s="1"/>
  <c r="H95" i="279"/>
  <c r="H97" i="279" s="1"/>
  <c r="P95" i="279"/>
  <c r="P97" i="279" s="1"/>
  <c r="I95" i="279"/>
  <c r="I97" i="279" s="1"/>
  <c r="G95" i="279"/>
  <c r="G97" i="279" s="1"/>
  <c r="J95" i="279"/>
  <c r="J97" i="279" s="1"/>
  <c r="K95" i="279"/>
  <c r="K97" i="279" s="1"/>
  <c r="P148" i="219" l="1"/>
  <c r="M148" i="219"/>
  <c r="L148" i="219"/>
  <c r="N148" i="219"/>
  <c r="O148" i="219"/>
  <c r="I332" i="279" l="1"/>
  <c r="I334" i="279" s="1"/>
  <c r="I322" i="279"/>
  <c r="I324" i="279" s="1"/>
  <c r="K332" i="279"/>
  <c r="K334" i="279" s="1"/>
  <c r="K322" i="279"/>
  <c r="K324" i="279" s="1"/>
  <c r="K345" i="279"/>
  <c r="K347" i="279" s="1"/>
  <c r="M345" i="279"/>
  <c r="M347" i="279" s="1"/>
  <c r="L322" i="279"/>
  <c r="L324" i="279" s="1"/>
  <c r="L345" i="279"/>
  <c r="L347" i="279" s="1"/>
  <c r="P345" i="279"/>
  <c r="P347" i="279" s="1"/>
  <c r="L332" i="279"/>
  <c r="L334" i="279" s="1"/>
  <c r="N345" i="279"/>
  <c r="N347" i="279" s="1"/>
  <c r="O345" i="279"/>
  <c r="O347" i="279" s="1"/>
  <c r="K366" i="279"/>
  <c r="K368" i="279" s="1"/>
  <c r="J366" i="279"/>
  <c r="J368" i="279" s="1"/>
  <c r="J372" i="279" s="1"/>
  <c r="I366" i="279"/>
  <c r="I368" i="279" s="1"/>
  <c r="I372" i="279" s="1"/>
  <c r="P366" i="279"/>
  <c r="P368" i="279" s="1"/>
  <c r="H366" i="279"/>
  <c r="H368" i="279" s="1"/>
  <c r="H372" i="279" s="1"/>
  <c r="O366" i="279"/>
  <c r="O368" i="279" s="1"/>
  <c r="G366" i="279"/>
  <c r="G368" i="279" s="1"/>
  <c r="N366" i="279"/>
  <c r="N368" i="279" s="1"/>
  <c r="M366" i="279"/>
  <c r="M368" i="279" s="1"/>
  <c r="L366" i="279"/>
  <c r="L368" i="279" s="1"/>
  <c r="O322" i="279"/>
  <c r="O324" i="279" s="1"/>
  <c r="G322" i="279"/>
  <c r="G324" i="279" s="1"/>
  <c r="N322" i="279"/>
  <c r="N324" i="279" s="1"/>
  <c r="P322" i="279"/>
  <c r="P324" i="279" s="1"/>
  <c r="H322" i="279"/>
  <c r="H324" i="279" s="1"/>
  <c r="M322" i="279"/>
  <c r="M324" i="279" s="1"/>
  <c r="H332" i="279"/>
  <c r="H334" i="279" s="1"/>
  <c r="M332" i="279"/>
  <c r="M334" i="279" s="1"/>
  <c r="G332" i="279"/>
  <c r="G334" i="279" s="1"/>
  <c r="O332" i="279"/>
  <c r="O334" i="279" s="1"/>
  <c r="N332" i="279"/>
  <c r="N334" i="279" s="1"/>
  <c r="P332" i="279"/>
  <c r="P334" i="279" s="1"/>
  <c r="G345" i="279"/>
  <c r="G347" i="279" s="1"/>
  <c r="N126" i="278"/>
  <c r="N128" i="278" s="1"/>
  <c r="N132" i="278" s="1"/>
  <c r="O126" i="278"/>
  <c r="O128" i="278" s="1"/>
  <c r="O132" i="278" s="1"/>
  <c r="H126" i="278"/>
  <c r="H128" i="278" s="1"/>
  <c r="H132" i="278" s="1"/>
  <c r="P126" i="278"/>
  <c r="P128" i="278" s="1"/>
  <c r="P132" i="278" s="1"/>
  <c r="I126" i="278"/>
  <c r="I128" i="278" s="1"/>
  <c r="I132" i="278" s="1"/>
  <c r="G126" i="278"/>
  <c r="G128" i="278" s="1"/>
  <c r="L126" i="278"/>
  <c r="L128" i="278" s="1"/>
  <c r="L132" i="278" s="1"/>
  <c r="J126" i="278"/>
  <c r="J128" i="278" s="1"/>
  <c r="J132" i="278" s="1"/>
  <c r="M126" i="278"/>
  <c r="M128" i="278" s="1"/>
  <c r="M132" i="278" s="1"/>
  <c r="K126" i="278"/>
  <c r="K128" i="278" s="1"/>
  <c r="G92" i="278"/>
  <c r="G94" i="278" s="1"/>
  <c r="O82" i="278"/>
  <c r="O84" i="278" s="1"/>
  <c r="G105" i="278"/>
  <c r="G107" i="278" s="1"/>
  <c r="G82" i="278"/>
  <c r="G84" i="278" s="1"/>
  <c r="O92" i="278"/>
  <c r="O94" i="278" s="1"/>
  <c r="P82" i="278"/>
  <c r="P84" i="278" s="1"/>
  <c r="H82" i="278"/>
  <c r="H84" i="278" s="1"/>
  <c r="P92" i="278"/>
  <c r="P94" i="278" s="1"/>
  <c r="M92" i="278"/>
  <c r="M94" i="278" s="1"/>
  <c r="M82" i="278"/>
  <c r="M84" i="278" s="1"/>
  <c r="H92" i="278"/>
  <c r="H94" i="278" s="1"/>
  <c r="N82" i="278"/>
  <c r="N84" i="278" s="1"/>
  <c r="N92" i="278"/>
  <c r="N94" i="278" s="1"/>
  <c r="G104" i="219"/>
  <c r="G114" i="219"/>
  <c r="G85" i="219"/>
  <c r="H85" i="219"/>
  <c r="G127" i="219"/>
  <c r="H114" i="219"/>
  <c r="H104" i="219"/>
  <c r="M104" i="219"/>
  <c r="K104" i="219"/>
  <c r="N104" i="219"/>
  <c r="L85" i="219"/>
  <c r="L104" i="219"/>
  <c r="M114" i="219"/>
  <c r="O104" i="219"/>
  <c r="P104" i="219"/>
  <c r="L114" i="219"/>
  <c r="O114" i="219"/>
  <c r="P114" i="219"/>
  <c r="N85" i="219"/>
  <c r="K85" i="219"/>
  <c r="O85" i="219"/>
  <c r="N114" i="219"/>
  <c r="M85" i="219"/>
  <c r="P85" i="219"/>
  <c r="K127" i="219"/>
  <c r="K114" i="219"/>
  <c r="K148" i="219"/>
  <c r="N56" i="219"/>
  <c r="N58" i="219" s="1"/>
  <c r="O56" i="219"/>
  <c r="O58" i="219" s="1"/>
  <c r="P56" i="219"/>
  <c r="P58" i="219" s="1"/>
  <c r="L56" i="219"/>
  <c r="L58" i="219" s="1"/>
  <c r="K56" i="219"/>
  <c r="K58" i="219" s="1"/>
  <c r="M56" i="219"/>
  <c r="M58" i="219" s="1"/>
  <c r="J56" i="219" l="1"/>
  <c r="J58" i="219" s="1"/>
  <c r="H56" i="219"/>
  <c r="H58" i="219" s="1"/>
  <c r="I56" i="219"/>
  <c r="I58" i="219" s="1"/>
  <c r="G56" i="219"/>
  <c r="G58" i="219" s="1"/>
  <c r="P81" i="279" l="1"/>
  <c r="P83" i="279" s="1"/>
  <c r="O81" i="279"/>
  <c r="O83" i="279" s="1"/>
  <c r="L81" i="279"/>
  <c r="L83" i="279" s="1"/>
  <c r="N81" i="279"/>
  <c r="N83" i="279" s="1"/>
  <c r="J81" i="279"/>
  <c r="J83" i="279" s="1"/>
  <c r="I81" i="279"/>
  <c r="I83" i="279" s="1"/>
  <c r="G81" i="279"/>
  <c r="G83" i="279" s="1"/>
  <c r="K81" i="279"/>
  <c r="K83" i="279" s="1"/>
  <c r="M81" i="279"/>
  <c r="M83" i="279" s="1"/>
  <c r="H81" i="279"/>
  <c r="H83" i="279" s="1"/>
  <c r="L56" i="224"/>
  <c r="M56" i="224"/>
  <c r="H56" i="224"/>
  <c r="N56" i="224"/>
  <c r="P56" i="224"/>
  <c r="O56" i="224"/>
  <c r="G56" i="224"/>
  <c r="I56" i="224"/>
  <c r="J56" i="224"/>
  <c r="K56" i="224"/>
  <c r="G14" i="228" l="1"/>
  <c r="G12" i="224" l="1"/>
  <c r="G14" i="224" s="1"/>
  <c r="G15" i="224" s="1"/>
  <c r="I14" i="228"/>
  <c r="I16" i="228" s="1"/>
  <c r="I17" i="228" s="1"/>
  <c r="G16" i="228"/>
  <c r="G17" i="228" s="1"/>
  <c r="H16" i="228"/>
  <c r="H17" i="228" s="1"/>
  <c r="F16" i="228"/>
  <c r="F17" i="228" s="1"/>
  <c r="K162" i="224" l="1"/>
  <c r="L18" i="219"/>
  <c r="I162" i="224"/>
  <c r="P18" i="219"/>
  <c r="O162" i="224"/>
  <c r="O164" i="224" s="1"/>
  <c r="P162" i="224"/>
  <c r="H18" i="219"/>
  <c r="G162" i="224"/>
  <c r="N18" i="219"/>
  <c r="M18" i="219"/>
  <c r="J162" i="224"/>
  <c r="J18" i="219"/>
  <c r="K18" i="219"/>
  <c r="N162" i="224"/>
  <c r="O18" i="219"/>
  <c r="M162" i="224"/>
  <c r="G22" i="219"/>
  <c r="G18" i="219"/>
  <c r="L162" i="224"/>
  <c r="I18" i="219"/>
  <c r="H157" i="273"/>
  <c r="H159" i="273" s="1"/>
  <c r="J186" i="279"/>
  <c r="J188" i="279" s="1"/>
  <c r="I194" i="278"/>
  <c r="I196" i="278" s="1"/>
  <c r="Q157" i="273"/>
  <c r="Q159" i="273" s="1"/>
  <c r="O225" i="219"/>
  <c r="O227" i="219" s="1"/>
  <c r="G186" i="279"/>
  <c r="G188" i="279" s="1"/>
  <c r="J225" i="219"/>
  <c r="J227" i="219" s="1"/>
  <c r="I186" i="279"/>
  <c r="I188" i="279" s="1"/>
  <c r="P194" i="278"/>
  <c r="P196" i="278" s="1"/>
  <c r="P157" i="273"/>
  <c r="P159" i="273" s="1"/>
  <c r="P225" i="219"/>
  <c r="P227" i="219" s="1"/>
  <c r="P186" i="279"/>
  <c r="P188" i="279" s="1"/>
  <c r="O194" i="278"/>
  <c r="O196" i="278" s="1"/>
  <c r="G194" i="278"/>
  <c r="G196" i="278" s="1"/>
  <c r="O157" i="273"/>
  <c r="O159" i="273" s="1"/>
  <c r="I225" i="219"/>
  <c r="I227" i="219" s="1"/>
  <c r="G225" i="219"/>
  <c r="G227" i="219" s="1"/>
  <c r="O186" i="279"/>
  <c r="O188" i="279" s="1"/>
  <c r="N194" i="278"/>
  <c r="N196" i="278" s="1"/>
  <c r="N186" i="279"/>
  <c r="N188" i="279" s="1"/>
  <c r="M194" i="278"/>
  <c r="M196" i="278" s="1"/>
  <c r="M157" i="273"/>
  <c r="M159" i="273" s="1"/>
  <c r="K225" i="219"/>
  <c r="K227" i="219" s="1"/>
  <c r="K194" i="278"/>
  <c r="K196" i="278" s="1"/>
  <c r="N157" i="273"/>
  <c r="N159" i="273" s="1"/>
  <c r="M186" i="279"/>
  <c r="M188" i="279" s="1"/>
  <c r="L194" i="278"/>
  <c r="L196" i="278" s="1"/>
  <c r="L157" i="273"/>
  <c r="L159" i="273" s="1"/>
  <c r="L225" i="219"/>
  <c r="L227" i="219" s="1"/>
  <c r="L186" i="279"/>
  <c r="L188" i="279" s="1"/>
  <c r="K157" i="273"/>
  <c r="K159" i="273" s="1"/>
  <c r="M225" i="219"/>
  <c r="M227" i="219" s="1"/>
  <c r="K186" i="279"/>
  <c r="K188" i="279" s="1"/>
  <c r="J194" i="278"/>
  <c r="J196" i="278" s="1"/>
  <c r="J157" i="273"/>
  <c r="J159" i="273" s="1"/>
  <c r="N225" i="219"/>
  <c r="N227" i="219" s="1"/>
  <c r="O238" i="219"/>
  <c r="G24" i="219" l="1"/>
  <c r="G25" i="219" s="1"/>
  <c r="O241" i="219"/>
  <c r="I47" i="275" l="1"/>
  <c r="H200" i="224" l="1"/>
  <c r="H202" i="224" s="1"/>
  <c r="H211" i="224" s="1"/>
  <c r="G233" i="220"/>
  <c r="G73" i="228"/>
  <c r="H75" i="228"/>
  <c r="H84" i="228" s="1"/>
  <c r="H235" i="220"/>
  <c r="H244" i="220" s="1"/>
  <c r="I49" i="275"/>
  <c r="I58" i="275" s="1"/>
  <c r="P75" i="224" l="1"/>
  <c r="P77" i="224" s="1"/>
  <c r="P78" i="224" s="1"/>
  <c r="N75" i="224"/>
  <c r="N77" i="224" s="1"/>
  <c r="N78" i="224" s="1"/>
  <c r="O75" i="224"/>
  <c r="O77" i="224" s="1"/>
  <c r="O78" i="224" s="1"/>
  <c r="L75" i="224"/>
  <c r="L77" i="224" s="1"/>
  <c r="L78" i="224" s="1"/>
  <c r="J75" i="224"/>
  <c r="J77" i="224" s="1"/>
  <c r="J78" i="224" s="1"/>
  <c r="K75" i="224"/>
  <c r="K77" i="224" s="1"/>
  <c r="K78" i="224" s="1"/>
  <c r="M75" i="224"/>
  <c r="M77" i="224" s="1"/>
  <c r="M78" i="224" s="1"/>
  <c r="K29" i="278" l="1"/>
  <c r="L29" i="278"/>
  <c r="M162" i="279"/>
  <c r="M164" i="279" s="1"/>
  <c r="M169" i="279" s="1"/>
  <c r="O162" i="279"/>
  <c r="O164" i="279" s="1"/>
  <c r="O169" i="279" s="1"/>
  <c r="L162" i="279"/>
  <c r="L164" i="279" s="1"/>
  <c r="L169" i="279" s="1"/>
  <c r="K162" i="279"/>
  <c r="K164" i="279" s="1"/>
  <c r="K169" i="279" s="1"/>
  <c r="H162" i="279"/>
  <c r="H164" i="279" s="1"/>
  <c r="H169" i="279" s="1"/>
  <c r="N162" i="279"/>
  <c r="N164" i="279" s="1"/>
  <c r="N169" i="279" s="1"/>
  <c r="P162" i="279"/>
  <c r="P164" i="279" s="1"/>
  <c r="P169" i="279" s="1"/>
  <c r="J162" i="279"/>
  <c r="J164" i="279" s="1"/>
  <c r="J169" i="279" s="1"/>
  <c r="I162" i="279"/>
  <c r="I164" i="279" s="1"/>
  <c r="I169" i="279" s="1"/>
  <c r="G162" i="279"/>
  <c r="G164" i="279" s="1"/>
  <c r="G169" i="279" s="1"/>
  <c r="K292" i="279"/>
  <c r="K294" i="279" s="1"/>
  <c r="L292" i="279"/>
  <c r="L294" i="279" s="1"/>
  <c r="J292" i="279"/>
  <c r="J294" i="279" s="1"/>
  <c r="N292" i="279"/>
  <c r="N294" i="279" s="1"/>
  <c r="I292" i="279"/>
  <c r="I294" i="279" s="1"/>
  <c r="P292" i="279"/>
  <c r="P294" i="279" s="1"/>
  <c r="H292" i="279"/>
  <c r="H294" i="279" s="1"/>
  <c r="O292" i="279"/>
  <c r="O294" i="279" s="1"/>
  <c r="G292" i="279"/>
  <c r="G294" i="279" s="1"/>
  <c r="M292" i="279"/>
  <c r="M294" i="279" s="1"/>
  <c r="L52" i="278"/>
  <c r="L54" i="278" s="1"/>
  <c r="O52" i="278"/>
  <c r="O54" i="278" s="1"/>
  <c r="K52" i="278"/>
  <c r="K54" i="278" s="1"/>
  <c r="H52" i="278"/>
  <c r="H54" i="278" s="1"/>
  <c r="J52" i="278"/>
  <c r="J54" i="278" s="1"/>
  <c r="G52" i="278"/>
  <c r="G54" i="278" s="1"/>
  <c r="I52" i="278"/>
  <c r="I54" i="278" s="1"/>
  <c r="P52" i="278"/>
  <c r="P54" i="278" s="1"/>
  <c r="N52" i="278"/>
  <c r="N54" i="278" s="1"/>
  <c r="M52" i="278"/>
  <c r="M54" i="278" s="1"/>
  <c r="I58" i="220"/>
  <c r="I60" i="220" s="1"/>
  <c r="I47" i="220"/>
  <c r="I49" i="220" s="1"/>
  <c r="M58" i="220"/>
  <c r="M60" i="220" s="1"/>
  <c r="J58" i="220"/>
  <c r="J60" i="220" s="1"/>
  <c r="J47" i="220"/>
  <c r="J49" i="220" s="1"/>
  <c r="K58" i="220"/>
  <c r="K60" i="220" s="1"/>
  <c r="K47" i="220"/>
  <c r="K49" i="220" s="1"/>
  <c r="M47" i="220"/>
  <c r="M49" i="220" s="1"/>
  <c r="L58" i="220"/>
  <c r="L60" i="220" s="1"/>
  <c r="L47" i="220"/>
  <c r="L49" i="220" s="1"/>
  <c r="N58" i="220"/>
  <c r="N60" i="220" s="1"/>
  <c r="N47" i="220"/>
  <c r="N49" i="220" s="1"/>
  <c r="G72" i="219"/>
  <c r="G74" i="219" s="1"/>
  <c r="H72" i="219"/>
  <c r="H74" i="219" s="1"/>
  <c r="I72" i="219"/>
  <c r="I74" i="219" s="1"/>
  <c r="J72" i="219"/>
  <c r="J74" i="219" s="1"/>
  <c r="G47" i="220"/>
  <c r="G49" i="220" s="1"/>
  <c r="H47" i="220"/>
  <c r="H49" i="220" s="1"/>
  <c r="G58" i="220"/>
  <c r="G60" i="220" s="1"/>
  <c r="O47" i="220"/>
  <c r="O49" i="220" s="1"/>
  <c r="F58" i="220"/>
  <c r="F60" i="220" s="1"/>
  <c r="F47" i="220"/>
  <c r="F49" i="220" s="1"/>
  <c r="O58" i="220"/>
  <c r="O60" i="220" s="1"/>
  <c r="H58" i="220"/>
  <c r="H60" i="220" s="1"/>
  <c r="O72" i="219"/>
  <c r="O74" i="219" s="1"/>
  <c r="M72" i="219"/>
  <c r="M74" i="219" s="1"/>
  <c r="L72" i="219"/>
  <c r="L74" i="219" s="1"/>
  <c r="P72" i="219"/>
  <c r="P74" i="219" s="1"/>
  <c r="K72" i="219"/>
  <c r="K74" i="219" s="1"/>
  <c r="N72" i="219"/>
  <c r="N74" i="219" s="1"/>
  <c r="M31" i="278" l="1"/>
  <c r="M32" i="278" s="1"/>
  <c r="J31" i="278"/>
  <c r="J32" i="278" s="1"/>
  <c r="H31" i="278"/>
  <c r="H32" i="278" s="1"/>
  <c r="O31" i="278"/>
  <c r="O32" i="278" s="1"/>
  <c r="L31" i="278"/>
  <c r="L32" i="278" s="1"/>
  <c r="I31" i="278"/>
  <c r="I32" i="278" s="1"/>
  <c r="P31" i="278"/>
  <c r="P32" i="278" s="1"/>
  <c r="N31" i="278"/>
  <c r="N32" i="278" s="1"/>
  <c r="G31" i="278"/>
  <c r="G32" i="278" s="1"/>
  <c r="K31" i="278"/>
  <c r="K32" i="278" s="1"/>
  <c r="H143" i="219" l="1"/>
  <c r="H145" i="219" s="1"/>
  <c r="I143" i="219" l="1"/>
  <c r="I145" i="219" s="1"/>
  <c r="J143" i="219"/>
  <c r="J145" i="219" s="1"/>
  <c r="J165" i="219"/>
  <c r="J167" i="219" s="1"/>
  <c r="O143" i="219"/>
  <c r="L143" i="219"/>
  <c r="N143" i="219"/>
  <c r="P143" i="219"/>
  <c r="M143" i="219"/>
  <c r="G143" i="219"/>
  <c r="K143" i="219"/>
  <c r="K125" i="278"/>
  <c r="H165" i="219" l="1"/>
  <c r="H167" i="219" s="1"/>
  <c r="I165" i="219"/>
  <c r="I167" i="219" s="1"/>
  <c r="G165" i="219"/>
  <c r="G167" i="219" s="1"/>
  <c r="P165" i="219"/>
  <c r="P167" i="219" s="1"/>
  <c r="L165" i="219"/>
  <c r="L167" i="219" s="1"/>
  <c r="K165" i="219"/>
  <c r="K167" i="219" s="1"/>
  <c r="O165" i="219"/>
  <c r="O167" i="219" s="1"/>
  <c r="M165" i="219"/>
  <c r="M167" i="219" s="1"/>
  <c r="N165" i="219"/>
  <c r="N167" i="219" s="1"/>
  <c r="E54" i="250" l="1"/>
  <c r="G54" i="250" s="1"/>
  <c r="L494" i="279" l="1"/>
  <c r="L496" i="279" s="1"/>
  <c r="L500" i="279" s="1"/>
  <c r="J255" i="278"/>
  <c r="J257" i="278" s="1"/>
  <c r="J261" i="278" s="1"/>
  <c r="H286" i="219"/>
  <c r="H288" i="219" s="1"/>
  <c r="H292" i="219" s="1"/>
  <c r="P286" i="219"/>
  <c r="P288" i="219" s="1"/>
  <c r="P292" i="219" s="1"/>
  <c r="N286" i="219"/>
  <c r="N288" i="219" s="1"/>
  <c r="N292" i="219" s="1"/>
  <c r="I255" i="278"/>
  <c r="I257" i="278" s="1"/>
  <c r="I261" i="278" s="1"/>
  <c r="M494" i="279"/>
  <c r="M496" i="279" s="1"/>
  <c r="M500" i="279" s="1"/>
  <c r="K255" i="278"/>
  <c r="K257" i="278" s="1"/>
  <c r="K261" i="278" s="1"/>
  <c r="I286" i="219"/>
  <c r="I288" i="219" s="1"/>
  <c r="I292" i="219" s="1"/>
  <c r="G286" i="219"/>
  <c r="G288" i="219" s="1"/>
  <c r="G292" i="219" s="1"/>
  <c r="G494" i="279"/>
  <c r="G496" i="279" s="1"/>
  <c r="G500" i="279" s="1"/>
  <c r="M286" i="219"/>
  <c r="M288" i="219" s="1"/>
  <c r="M292" i="219" s="1"/>
  <c r="N494" i="279"/>
  <c r="N496" i="279" s="1"/>
  <c r="N500" i="279" s="1"/>
  <c r="L255" i="278"/>
  <c r="L257" i="278" s="1"/>
  <c r="L261" i="278" s="1"/>
  <c r="J286" i="219"/>
  <c r="J288" i="219" s="1"/>
  <c r="J292" i="219" s="1"/>
  <c r="P255" i="278"/>
  <c r="P257" i="278" s="1"/>
  <c r="P261" i="278" s="1"/>
  <c r="O494" i="279"/>
  <c r="O496" i="279" s="1"/>
  <c r="O500" i="279" s="1"/>
  <c r="M255" i="278"/>
  <c r="M257" i="278" s="1"/>
  <c r="M261" i="278" s="1"/>
  <c r="K286" i="219"/>
  <c r="K288" i="219" s="1"/>
  <c r="K292" i="219" s="1"/>
  <c r="I494" i="279"/>
  <c r="I496" i="279" s="1"/>
  <c r="I500" i="279" s="1"/>
  <c r="O255" i="278"/>
  <c r="O257" i="278" s="1"/>
  <c r="O261" i="278" s="1"/>
  <c r="G255" i="278"/>
  <c r="G257" i="278" s="1"/>
  <c r="G261" i="278" s="1"/>
  <c r="H494" i="279"/>
  <c r="H496" i="279" s="1"/>
  <c r="H500" i="279" s="1"/>
  <c r="P494" i="279"/>
  <c r="P496" i="279" s="1"/>
  <c r="P500" i="279" s="1"/>
  <c r="N255" i="278"/>
  <c r="N257" i="278" s="1"/>
  <c r="N261" i="278" s="1"/>
  <c r="L286" i="219"/>
  <c r="L288" i="219" s="1"/>
  <c r="L292" i="219" s="1"/>
  <c r="J494" i="279"/>
  <c r="J496" i="279" s="1"/>
  <c r="J500" i="279" s="1"/>
  <c r="H255" i="278"/>
  <c r="H257" i="278" s="1"/>
  <c r="H261" i="278" s="1"/>
  <c r="K494" i="279"/>
  <c r="K496" i="279" s="1"/>
  <c r="K500" i="279" s="1"/>
  <c r="O286" i="219"/>
  <c r="O288" i="219" s="1"/>
  <c r="O292" i="219" s="1"/>
  <c r="E10" i="250" l="1" a="1"/>
  <c r="E34" i="250"/>
  <c r="G34" i="250" s="1"/>
  <c r="G36" i="250" s="1"/>
  <c r="E10" i="250" l="1"/>
  <c r="G10" i="250" s="1"/>
  <c r="G12" i="250"/>
  <c r="G11" i="250"/>
  <c r="G14" i="250"/>
  <c r="G13" i="250"/>
  <c r="G16" i="250" l="1"/>
  <c r="H234" i="279" l="1"/>
  <c r="I234" i="279"/>
  <c r="H135" i="273" l="1"/>
  <c r="H137" i="273" s="1"/>
  <c r="H141" i="273" s="1"/>
  <c r="P200" i="224"/>
  <c r="P202" i="224" s="1"/>
  <c r="P211" i="224" s="1"/>
  <c r="P47" i="275"/>
  <c r="P49" i="275" s="1"/>
  <c r="P58" i="275" s="1"/>
  <c r="M200" i="224"/>
  <c r="M202" i="224" s="1"/>
  <c r="M211" i="224" s="1"/>
  <c r="N234" i="279"/>
  <c r="N236" i="279" s="1"/>
  <c r="N245" i="279" s="1"/>
  <c r="M47" i="275"/>
  <c r="M49" i="275" s="1"/>
  <c r="M58" i="275" s="1"/>
  <c r="L233" i="220"/>
  <c r="L235" i="220" s="1"/>
  <c r="L244" i="220" s="1"/>
  <c r="P234" i="279"/>
  <c r="P236" i="279" s="1"/>
  <c r="P245" i="279" s="1"/>
  <c r="K200" i="224"/>
  <c r="K202" i="224" s="1"/>
  <c r="K211" i="224" s="1"/>
  <c r="J47" i="275"/>
  <c r="J49" i="275" s="1"/>
  <c r="J58" i="275" s="1"/>
  <c r="K233" i="220"/>
  <c r="K235" i="220" s="1"/>
  <c r="K244" i="220" s="1"/>
  <c r="J233" i="220"/>
  <c r="J235" i="220" s="1"/>
  <c r="J244" i="220" s="1"/>
  <c r="K47" i="275"/>
  <c r="K49" i="275" s="1"/>
  <c r="K58" i="275" s="1"/>
  <c r="O233" i="220"/>
  <c r="O235" i="220" s="1"/>
  <c r="O244" i="220" s="1"/>
  <c r="L234" i="279"/>
  <c r="L236" i="279" s="1"/>
  <c r="L245" i="279" s="1"/>
  <c r="L47" i="275"/>
  <c r="L49" i="275" s="1"/>
  <c r="L58" i="275" s="1"/>
  <c r="L200" i="224"/>
  <c r="L202" i="224" s="1"/>
  <c r="L211" i="224" s="1"/>
  <c r="M234" i="279"/>
  <c r="M236" i="279" s="1"/>
  <c r="M245" i="279" s="1"/>
  <c r="G234" i="279"/>
  <c r="P73" i="228"/>
  <c r="P75" i="228" s="1"/>
  <c r="P84" i="228" s="1"/>
  <c r="J73" i="228"/>
  <c r="J75" i="228" s="1"/>
  <c r="J84" i="228" s="1"/>
  <c r="Q73" i="228"/>
  <c r="Q75" i="228" s="1"/>
  <c r="Q84" i="228" s="1"/>
  <c r="F73" i="228"/>
  <c r="K73" i="228"/>
  <c r="K75" i="228" s="1"/>
  <c r="K84" i="228" s="1"/>
  <c r="F233" i="220"/>
  <c r="O73" i="228"/>
  <c r="O75" i="228" s="1"/>
  <c r="O84" i="228" s="1"/>
  <c r="G200" i="224"/>
  <c r="I236" i="279"/>
  <c r="I245" i="279" s="1"/>
  <c r="H49" i="275"/>
  <c r="H58" i="275" s="1"/>
  <c r="G235" i="220"/>
  <c r="G244" i="220" s="1"/>
  <c r="H236" i="279"/>
  <c r="H245" i="279" s="1"/>
  <c r="G75" i="228"/>
  <c r="G84" i="228" s="1"/>
  <c r="M135" i="273"/>
  <c r="M137" i="273" s="1"/>
  <c r="M141" i="273" s="1"/>
  <c r="L135" i="273"/>
  <c r="L137" i="273" s="1"/>
  <c r="L141" i="273" s="1"/>
  <c r="G178" i="224"/>
  <c r="H366" i="224"/>
  <c r="I135" i="273"/>
  <c r="I137" i="273" s="1"/>
  <c r="I141" i="273" s="1"/>
  <c r="Q135" i="273"/>
  <c r="Q137" i="273" s="1"/>
  <c r="Q141" i="273" s="1"/>
  <c r="J135" i="273"/>
  <c r="J137" i="273" s="1"/>
  <c r="J141" i="273" s="1"/>
  <c r="K135" i="273"/>
  <c r="K137" i="273" s="1"/>
  <c r="K141" i="273" s="1"/>
  <c r="N135" i="273"/>
  <c r="N137" i="273" s="1"/>
  <c r="N141" i="273" s="1"/>
  <c r="P135" i="273"/>
  <c r="P137" i="273" s="1"/>
  <c r="P141" i="273" s="1"/>
  <c r="O135" i="273"/>
  <c r="O137" i="273" s="1"/>
  <c r="O141" i="273" s="1"/>
  <c r="M169" i="220" l="1"/>
  <c r="G160" i="272"/>
  <c r="M178" i="224"/>
  <c r="M160" i="272"/>
  <c r="I243" i="219"/>
  <c r="L160" i="272"/>
  <c r="H178" i="224"/>
  <c r="H180" i="224" s="1"/>
  <c r="H184" i="224" s="1"/>
  <c r="G452" i="279"/>
  <c r="G453" i="279" s="1"/>
  <c r="G457" i="279" s="1"/>
  <c r="L243" i="219"/>
  <c r="L245" i="219" s="1"/>
  <c r="G212" i="278"/>
  <c r="I212" i="278"/>
  <c r="L175" i="273"/>
  <c r="J169" i="220"/>
  <c r="J171" i="220" s="1"/>
  <c r="J175" i="220" s="1"/>
  <c r="L212" i="278"/>
  <c r="K212" i="278"/>
  <c r="G243" i="219"/>
  <c r="N243" i="219"/>
  <c r="H175" i="273"/>
  <c r="H177" i="273" s="1"/>
  <c r="H181" i="273" s="1"/>
  <c r="O202" i="279"/>
  <c r="J175" i="273"/>
  <c r="J452" i="279"/>
  <c r="J453" i="279" s="1"/>
  <c r="J457" i="279" s="1"/>
  <c r="I202" i="279"/>
  <c r="Q175" i="273"/>
  <c r="I452" i="279"/>
  <c r="I453" i="279" s="1"/>
  <c r="I457" i="279" s="1"/>
  <c r="K175" i="273"/>
  <c r="K178" i="224"/>
  <c r="M243" i="219"/>
  <c r="O243" i="219"/>
  <c r="O245" i="219" s="1"/>
  <c r="O452" i="279"/>
  <c r="O453" i="279" s="1"/>
  <c r="O457" i="279" s="1"/>
  <c r="M175" i="273"/>
  <c r="H169" i="220"/>
  <c r="H171" i="220" s="1"/>
  <c r="H175" i="220" s="1"/>
  <c r="M366" i="224"/>
  <c r="H202" i="279"/>
  <c r="I175" i="273"/>
  <c r="J366" i="224"/>
  <c r="P175" i="273"/>
  <c r="H243" i="219"/>
  <c r="O169" i="220"/>
  <c r="O171" i="220" s="1"/>
  <c r="O175" i="220" s="1"/>
  <c r="O366" i="224"/>
  <c r="M202" i="279"/>
  <c r="H452" i="279"/>
  <c r="H453" i="279" s="1"/>
  <c r="H457" i="279" s="1"/>
  <c r="G28" i="272"/>
  <c r="G30" i="272" s="1"/>
  <c r="F169" i="220"/>
  <c r="J160" i="272"/>
  <c r="F160" i="272"/>
  <c r="P202" i="279"/>
  <c r="J202" i="279"/>
  <c r="I178" i="224"/>
  <c r="I180" i="224" s="1"/>
  <c r="I184" i="224" s="1"/>
  <c r="M452" i="279"/>
  <c r="I160" i="272"/>
  <c r="K452" i="279"/>
  <c r="K453" i="279" s="1"/>
  <c r="K457" i="279" s="1"/>
  <c r="P243" i="219"/>
  <c r="P245" i="219" s="1"/>
  <c r="N212" i="278"/>
  <c r="P178" i="224"/>
  <c r="P180" i="224" s="1"/>
  <c r="P184" i="224" s="1"/>
  <c r="K366" i="224"/>
  <c r="N202" i="279"/>
  <c r="K202" i="279"/>
  <c r="O212" i="278"/>
  <c r="I169" i="220"/>
  <c r="I171" i="220" s="1"/>
  <c r="I175" i="220" s="1"/>
  <c r="N366" i="224"/>
  <c r="K169" i="220"/>
  <c r="K171" i="220" s="1"/>
  <c r="K175" i="220" s="1"/>
  <c r="G202" i="279"/>
  <c r="N452" i="279"/>
  <c r="N453" i="279" s="1"/>
  <c r="N457" i="279" s="1"/>
  <c r="J243" i="219"/>
  <c r="J212" i="278"/>
  <c r="N169" i="220"/>
  <c r="N171" i="220" s="1"/>
  <c r="N175" i="220" s="1"/>
  <c r="H160" i="272"/>
  <c r="L366" i="224"/>
  <c r="G169" i="220"/>
  <c r="G171" i="220" s="1"/>
  <c r="N175" i="273"/>
  <c r="N178" i="224"/>
  <c r="N180" i="224" s="1"/>
  <c r="N184" i="224" s="1"/>
  <c r="H212" i="278"/>
  <c r="K160" i="272"/>
  <c r="L169" i="220"/>
  <c r="P366" i="224"/>
  <c r="O175" i="273"/>
  <c r="L202" i="279"/>
  <c r="P452" i="279"/>
  <c r="P453" i="279" s="1"/>
  <c r="P457" i="279" s="1"/>
  <c r="L452" i="279"/>
  <c r="L453" i="279" s="1"/>
  <c r="L457" i="279" s="1"/>
  <c r="M212" i="278"/>
  <c r="K243" i="219"/>
  <c r="K245" i="219" s="1"/>
  <c r="P212" i="278"/>
  <c r="J178" i="224"/>
  <c r="J180" i="224" s="1"/>
  <c r="J184" i="224" s="1"/>
  <c r="L178" i="224"/>
  <c r="L180" i="224" s="1"/>
  <c r="L184" i="224" s="1"/>
  <c r="O178" i="224"/>
  <c r="O180" i="224" s="1"/>
  <c r="O184" i="224" s="1"/>
  <c r="I366" i="224"/>
  <c r="G366" i="224"/>
  <c r="I28" i="272"/>
  <c r="I30" i="272" s="1"/>
  <c r="M73" i="228"/>
  <c r="L73" i="228"/>
  <c r="L75" i="228" s="1"/>
  <c r="L84" i="228" s="1"/>
  <c r="H28" i="272"/>
  <c r="H30" i="272" s="1"/>
  <c r="L28" i="272"/>
  <c r="L30" i="272" s="1"/>
  <c r="J28" i="272"/>
  <c r="J30" i="272" s="1"/>
  <c r="K28" i="272"/>
  <c r="K30" i="272" s="1"/>
  <c r="N73" i="228"/>
  <c r="N75" i="228" s="1"/>
  <c r="N84" i="228" s="1"/>
  <c r="M28" i="272"/>
  <c r="M30" i="272" s="1"/>
  <c r="M233" i="220"/>
  <c r="M235" i="220" s="1"/>
  <c r="M244" i="220" s="1"/>
  <c r="N200" i="224"/>
  <c r="O200" i="224"/>
  <c r="O202" i="224" s="1"/>
  <c r="O211" i="224" s="1"/>
  <c r="N233" i="220"/>
  <c r="N235" i="220" s="1"/>
  <c r="N244" i="220" s="1"/>
  <c r="N47" i="275"/>
  <c r="N49" i="275" s="1"/>
  <c r="N58" i="275" s="1"/>
  <c r="O234" i="279"/>
  <c r="O236" i="279" s="1"/>
  <c r="O245" i="279" s="1"/>
  <c r="O47" i="275"/>
  <c r="O49" i="275" s="1"/>
  <c r="O58" i="275" s="1"/>
  <c r="J430" i="279"/>
  <c r="J432" i="279" s="1"/>
  <c r="G430" i="279"/>
  <c r="G432" i="279" s="1"/>
  <c r="L430" i="279"/>
  <c r="L432" i="279" s="1"/>
  <c r="N430" i="279"/>
  <c r="N432" i="279" s="1"/>
  <c r="O430" i="279"/>
  <c r="O432" i="279" s="1"/>
  <c r="K430" i="279"/>
  <c r="K432" i="279" s="1"/>
  <c r="H430" i="279"/>
  <c r="H432" i="279" s="1"/>
  <c r="I430" i="279"/>
  <c r="I432" i="279" s="1"/>
  <c r="P430" i="279"/>
  <c r="P432" i="279" s="1"/>
  <c r="M430" i="279"/>
  <c r="M432" i="279" s="1"/>
  <c r="I78" i="272"/>
  <c r="I80" i="272" s="1"/>
  <c r="J78" i="272"/>
  <c r="J80" i="272" s="1"/>
  <c r="K78" i="272"/>
  <c r="K80" i="272" s="1"/>
  <c r="L78" i="272"/>
  <c r="L80" i="272" s="1"/>
  <c r="N140" i="224"/>
  <c r="N142" i="224" s="1"/>
  <c r="N143" i="224" s="1"/>
  <c r="O140" i="224"/>
  <c r="O142" i="224" s="1"/>
  <c r="O143" i="224" s="1"/>
  <c r="H140" i="224"/>
  <c r="H142" i="224" s="1"/>
  <c r="H143" i="224" s="1"/>
  <c r="P140" i="224"/>
  <c r="P142" i="224" s="1"/>
  <c r="P143" i="224" s="1"/>
  <c r="I140" i="224"/>
  <c r="I142" i="224" s="1"/>
  <c r="I143" i="224" s="1"/>
  <c r="G140" i="224"/>
  <c r="G142" i="224" s="1"/>
  <c r="G143" i="224" s="1"/>
  <c r="J140" i="224"/>
  <c r="J142" i="224" s="1"/>
  <c r="J143" i="224" s="1"/>
  <c r="K140" i="224"/>
  <c r="K142" i="224" s="1"/>
  <c r="K143" i="224" s="1"/>
  <c r="L140" i="224"/>
  <c r="L142" i="224" s="1"/>
  <c r="L143" i="224" s="1"/>
  <c r="M140" i="224"/>
  <c r="M142" i="224" s="1"/>
  <c r="M143" i="224" s="1"/>
  <c r="K180" i="224"/>
  <c r="K184" i="224" s="1"/>
  <c r="M180" i="224"/>
  <c r="M184" i="224" s="1"/>
  <c r="N158" i="224"/>
  <c r="L158" i="224"/>
  <c r="M158" i="224"/>
  <c r="I158" i="224"/>
  <c r="J158" i="224"/>
  <c r="K158" i="224"/>
  <c r="P158" i="224"/>
  <c r="H158" i="224"/>
  <c r="O158" i="224"/>
  <c r="O160" i="224" s="1"/>
  <c r="G158" i="224"/>
  <c r="N202" i="224"/>
  <c r="N211" i="224" s="1"/>
  <c r="J43" i="228"/>
  <c r="J45" i="228" s="1"/>
  <c r="J49" i="228" s="1"/>
  <c r="M43" i="228"/>
  <c r="M45" i="228" s="1"/>
  <c r="M49" i="228" s="1"/>
  <c r="P43" i="228"/>
  <c r="P45" i="228" s="1"/>
  <c r="P49" i="228" s="1"/>
  <c r="N43" i="228"/>
  <c r="N45" i="228" s="1"/>
  <c r="N49" i="228" s="1"/>
  <c r="O43" i="228"/>
  <c r="O45" i="228" s="1"/>
  <c r="O49" i="228" s="1"/>
  <c r="Q43" i="228"/>
  <c r="Q45" i="228" s="1"/>
  <c r="Q49" i="228" s="1"/>
  <c r="L43" i="228"/>
  <c r="L45" i="228" s="1"/>
  <c r="L49" i="228" s="1"/>
  <c r="K43" i="228"/>
  <c r="K45" i="228" s="1"/>
  <c r="K49" i="228" s="1"/>
  <c r="Q153" i="273"/>
  <c r="Q155" i="273" s="1"/>
  <c r="G182" i="279"/>
  <c r="G184" i="279" s="1"/>
  <c r="N153" i="273"/>
  <c r="N155" i="273" s="1"/>
  <c r="L153" i="273"/>
  <c r="L155" i="273" s="1"/>
  <c r="J153" i="273"/>
  <c r="J155" i="273" s="1"/>
  <c r="H153" i="273"/>
  <c r="H155" i="273" s="1"/>
  <c r="I153" i="273"/>
  <c r="I155" i="273" s="1"/>
  <c r="K190" i="278"/>
  <c r="K192" i="278" s="1"/>
  <c r="O182" i="279"/>
  <c r="O184" i="279" s="1"/>
  <c r="P182" i="279"/>
  <c r="P184" i="279" s="1"/>
  <c r="J182" i="279"/>
  <c r="J184" i="279" s="1"/>
  <c r="N182" i="279"/>
  <c r="N184" i="279" s="1"/>
  <c r="M153" i="273"/>
  <c r="M155" i="273" s="1"/>
  <c r="G190" i="278"/>
  <c r="G192" i="278" s="1"/>
  <c r="N190" i="278"/>
  <c r="N192" i="278" s="1"/>
  <c r="J190" i="278"/>
  <c r="J192" i="278" s="1"/>
  <c r="I190" i="278"/>
  <c r="I192" i="278" s="1"/>
  <c r="P153" i="273"/>
  <c r="P155" i="273" s="1"/>
  <c r="M182" i="279"/>
  <c r="M184" i="279" s="1"/>
  <c r="K153" i="273"/>
  <c r="K155" i="273" s="1"/>
  <c r="H190" i="278"/>
  <c r="H192" i="278" s="1"/>
  <c r="M75" i="228"/>
  <c r="M84" i="228" s="1"/>
  <c r="K182" i="279"/>
  <c r="K184" i="279" s="1"/>
  <c r="I182" i="279"/>
  <c r="I184" i="279" s="1"/>
  <c r="M190" i="278"/>
  <c r="M192" i="278" s="1"/>
  <c r="L182" i="279"/>
  <c r="L184" i="279" s="1"/>
  <c r="L190" i="278"/>
  <c r="L192" i="278" s="1"/>
  <c r="O190" i="278"/>
  <c r="O192" i="278" s="1"/>
  <c r="O153" i="273"/>
  <c r="O155" i="273" s="1"/>
  <c r="H182" i="279"/>
  <c r="H184" i="279" s="1"/>
  <c r="P190" i="278"/>
  <c r="P192" i="278" s="1"/>
  <c r="G78" i="272"/>
  <c r="G80" i="272" s="1"/>
  <c r="F28" i="272"/>
  <c r="F30" i="272" s="1"/>
  <c r="H78" i="272"/>
  <c r="H80" i="272" s="1"/>
  <c r="F78" i="272"/>
  <c r="F80" i="272" s="1"/>
  <c r="M78" i="272"/>
  <c r="M80" i="272" s="1"/>
  <c r="J221" i="219"/>
  <c r="J223" i="219" s="1"/>
  <c r="I221" i="219"/>
  <c r="I223" i="219" s="1"/>
  <c r="N221" i="219"/>
  <c r="N223" i="219" s="1"/>
  <c r="P221" i="219"/>
  <c r="P223" i="219" s="1"/>
  <c r="H221" i="219"/>
  <c r="H223" i="219" s="1"/>
  <c r="L221" i="219"/>
  <c r="L223" i="219" s="1"/>
  <c r="O221" i="219"/>
  <c r="O223" i="219" s="1"/>
  <c r="G221" i="219"/>
  <c r="G223" i="219" s="1"/>
  <c r="M221" i="219"/>
  <c r="M223" i="219" s="1"/>
  <c r="K221" i="219"/>
  <c r="K223" i="219" s="1"/>
  <c r="G79" i="220"/>
  <c r="G81" i="220" s="1"/>
  <c r="O79" i="220"/>
  <c r="O81" i="220" s="1"/>
  <c r="H79" i="220"/>
  <c r="H81" i="220" s="1"/>
  <c r="F79" i="220"/>
  <c r="F81" i="220" s="1"/>
  <c r="I79" i="220"/>
  <c r="I81" i="220" s="1"/>
  <c r="J79" i="220"/>
  <c r="J81" i="220" s="1"/>
  <c r="K79" i="220"/>
  <c r="K81" i="220" s="1"/>
  <c r="L79" i="220"/>
  <c r="L81" i="220" s="1"/>
  <c r="M79" i="220"/>
  <c r="M81" i="220" s="1"/>
  <c r="N79" i="220"/>
  <c r="N81" i="220" s="1"/>
  <c r="F235" i="220"/>
  <c r="F244" i="220" s="1"/>
  <c r="F75" i="228"/>
  <c r="F84" i="228" s="1"/>
  <c r="G236" i="279"/>
  <c r="G245" i="279" s="1"/>
  <c r="G49" i="275"/>
  <c r="G58" i="275" s="1"/>
  <c r="F43" i="228"/>
  <c r="F45" i="228" s="1"/>
  <c r="F49" i="228" s="1"/>
  <c r="N245" i="219"/>
  <c r="I43" i="228"/>
  <c r="I45" i="228" s="1"/>
  <c r="I49" i="228" s="1"/>
  <c r="F171" i="220"/>
  <c r="N170" i="275"/>
  <c r="N171" i="275" s="1"/>
  <c r="N175" i="275" s="1"/>
  <c r="M170" i="275"/>
  <c r="M171" i="275" s="1"/>
  <c r="M175" i="275" s="1"/>
  <c r="M453" i="279"/>
  <c r="M457" i="279" s="1"/>
  <c r="I170" i="275"/>
  <c r="I171" i="275" s="1"/>
  <c r="I175" i="275" s="1"/>
  <c r="H43" i="228"/>
  <c r="H45" i="228" s="1"/>
  <c r="H49" i="228" s="1"/>
  <c r="L171" i="220"/>
  <c r="L175" i="220" s="1"/>
  <c r="M245" i="219"/>
  <c r="G170" i="275"/>
  <c r="G171" i="275" s="1"/>
  <c r="G175" i="275" s="1"/>
  <c r="O170" i="275"/>
  <c r="O171" i="275" s="1"/>
  <c r="O175" i="275" s="1"/>
  <c r="H170" i="275"/>
  <c r="H171" i="275" s="1"/>
  <c r="H175" i="275" s="1"/>
  <c r="K170" i="275"/>
  <c r="K171" i="275" s="1"/>
  <c r="K175" i="275" s="1"/>
  <c r="J170" i="275"/>
  <c r="J171" i="275" s="1"/>
  <c r="J175" i="275" s="1"/>
  <c r="P170" i="275"/>
  <c r="P171" i="275" s="1"/>
  <c r="P175" i="275" s="1"/>
  <c r="L170" i="275"/>
  <c r="L171" i="275" s="1"/>
  <c r="L175" i="275" s="1"/>
  <c r="M171" i="220"/>
  <c r="M175" i="220" s="1"/>
  <c r="G43" i="228"/>
  <c r="G45" i="228" s="1"/>
  <c r="G49" i="228" s="1"/>
  <c r="G356" i="279" l="1"/>
  <c r="G358" i="279" s="1"/>
  <c r="H136" i="219"/>
  <c r="H138" i="219" s="1"/>
  <c r="O214" i="278"/>
  <c r="O218" i="278" s="1"/>
  <c r="L214" i="278"/>
  <c r="L218" i="278" s="1"/>
  <c r="G214" i="278"/>
  <c r="G218" i="278" s="1"/>
  <c r="K214" i="278"/>
  <c r="K218" i="278" s="1"/>
  <c r="J214" i="278"/>
  <c r="J218" i="278" s="1"/>
  <c r="M214" i="278"/>
  <c r="M218" i="278" s="1"/>
  <c r="P214" i="278"/>
  <c r="P218" i="278" s="1"/>
  <c r="H214" i="278"/>
  <c r="H218" i="278" s="1"/>
  <c r="N214" i="278"/>
  <c r="N218" i="278" s="1"/>
  <c r="I214" i="278"/>
  <c r="I218" i="278" s="1"/>
  <c r="P177" i="273"/>
  <c r="P181" i="273" s="1"/>
  <c r="L177" i="273"/>
  <c r="L181" i="273" s="1"/>
  <c r="K177" i="273"/>
  <c r="K181" i="273" s="1"/>
  <c r="Q177" i="273"/>
  <c r="Q181" i="273" s="1"/>
  <c r="N177" i="273"/>
  <c r="N181" i="273" s="1"/>
  <c r="O177" i="273"/>
  <c r="O181" i="273" s="1"/>
  <c r="I177" i="273"/>
  <c r="I181" i="273" s="1"/>
  <c r="J177" i="273"/>
  <c r="J181" i="273" s="1"/>
  <c r="M177" i="273"/>
  <c r="M181" i="273" s="1"/>
  <c r="K368" i="224"/>
  <c r="K372" i="224" s="1"/>
  <c r="O204" i="279"/>
  <c r="O208" i="279" s="1"/>
  <c r="H204" i="279"/>
  <c r="H208" i="279" s="1"/>
  <c r="P204" i="279"/>
  <c r="P208" i="279" s="1"/>
  <c r="L204" i="279"/>
  <c r="L208" i="279" s="1"/>
  <c r="I204" i="279"/>
  <c r="I208" i="279" s="1"/>
  <c r="G204" i="279"/>
  <c r="G208" i="279" s="1"/>
  <c r="K204" i="279"/>
  <c r="K208" i="279" s="1"/>
  <c r="J204" i="279"/>
  <c r="J208" i="279" s="1"/>
  <c r="M204" i="279"/>
  <c r="M208" i="279" s="1"/>
  <c r="N204" i="279"/>
  <c r="N208" i="279" s="1"/>
  <c r="I245" i="219"/>
  <c r="I249" i="219" s="1"/>
  <c r="H245" i="219"/>
  <c r="H249" i="219" s="1"/>
  <c r="G245" i="219"/>
  <c r="G249" i="219" s="1"/>
  <c r="J245" i="219"/>
  <c r="J249" i="219" s="1"/>
  <c r="N368" i="224"/>
  <c r="N372" i="224" s="1"/>
  <c r="H368" i="224"/>
  <c r="H372" i="224" s="1"/>
  <c r="P368" i="224"/>
  <c r="P372" i="224" s="1"/>
  <c r="M368" i="224"/>
  <c r="M372" i="224" s="1"/>
  <c r="O368" i="224"/>
  <c r="O372" i="224" s="1"/>
  <c r="L368" i="224"/>
  <c r="L372" i="224" s="1"/>
  <c r="J368" i="224"/>
  <c r="J372" i="224" s="1"/>
  <c r="G368" i="224"/>
  <c r="G372" i="224" s="1"/>
  <c r="I368" i="224"/>
  <c r="I372" i="224" s="1"/>
  <c r="O100" i="224"/>
  <c r="H100" i="224"/>
  <c r="P100" i="224"/>
  <c r="I100" i="224"/>
  <c r="G100" i="224"/>
  <c r="N100" i="224"/>
  <c r="J100" i="224"/>
  <c r="K100" i="224"/>
  <c r="L100" i="224"/>
  <c r="M100" i="224"/>
  <c r="E72" i="250" l="1"/>
  <c r="G72" i="250" s="1"/>
  <c r="E68" i="250"/>
  <c r="G68" i="250" s="1"/>
  <c r="E70" i="250"/>
  <c r="G70" i="250" s="1"/>
  <c r="E69" i="250"/>
  <c r="G69" i="250" s="1"/>
  <c r="E71" i="250"/>
  <c r="G71" i="250" s="1"/>
  <c r="E67" i="250"/>
  <c r="G67" i="250" s="1"/>
  <c r="I85" i="224" l="1"/>
  <c r="I87" i="224" s="1"/>
  <c r="J85" i="224"/>
  <c r="J87" i="224" s="1"/>
  <c r="H85" i="224"/>
  <c r="H87" i="224" s="1"/>
  <c r="K85" i="224"/>
  <c r="K87" i="224" s="1"/>
  <c r="L85" i="224"/>
  <c r="L87" i="224" s="1"/>
  <c r="M85" i="224"/>
  <c r="M87" i="224" s="1"/>
  <c r="G85" i="224"/>
  <c r="G87" i="224" s="1"/>
  <c r="N85" i="224"/>
  <c r="N87" i="224" s="1"/>
  <c r="P85" i="224"/>
  <c r="P87" i="224" s="1"/>
  <c r="O85" i="224"/>
  <c r="O87" i="224" s="1"/>
  <c r="K19" i="228" l="1"/>
  <c r="L19" i="228"/>
  <c r="O19" i="228"/>
  <c r="J19" i="228"/>
  <c r="F19" i="228"/>
  <c r="M19" i="228"/>
  <c r="G19" i="228"/>
  <c r="N19" i="228"/>
  <c r="H19" i="228"/>
  <c r="P19" i="228"/>
  <c r="I19" i="228"/>
  <c r="Q19" i="228"/>
  <c r="L121" i="273" l="1"/>
  <c r="L123" i="273" s="1"/>
  <c r="N121" i="273"/>
  <c r="N123" i="273" s="1"/>
  <c r="Q121" i="273"/>
  <c r="Q123" i="273" s="1"/>
  <c r="M121" i="273"/>
  <c r="M123" i="273" s="1"/>
  <c r="O121" i="273"/>
  <c r="O123" i="273" s="1"/>
  <c r="K121" i="273"/>
  <c r="K123" i="273" s="1"/>
  <c r="P121" i="273"/>
  <c r="P123" i="273" s="1"/>
  <c r="J121" i="273"/>
  <c r="J123" i="273" s="1"/>
  <c r="I121" i="273"/>
  <c r="I123" i="273" s="1"/>
  <c r="H121" i="273"/>
  <c r="H123" i="273" s="1"/>
  <c r="H108" i="273"/>
  <c r="H110" i="273" s="1"/>
  <c r="H111" i="273" s="1"/>
  <c r="H116" i="273"/>
  <c r="P225" i="224"/>
  <c r="P227" i="224" s="1"/>
  <c r="H225" i="224"/>
  <c r="H227" i="224" s="1"/>
  <c r="K281" i="278"/>
  <c r="K283" i="278" s="1"/>
  <c r="K259" i="279"/>
  <c r="K261" i="279" s="1"/>
  <c r="P259" i="279"/>
  <c r="P261" i="279" s="1"/>
  <c r="L281" i="278"/>
  <c r="L283" i="278" s="1"/>
  <c r="O225" i="224"/>
  <c r="O227" i="224" s="1"/>
  <c r="G225" i="224"/>
  <c r="G227" i="224" s="1"/>
  <c r="J281" i="278"/>
  <c r="J283" i="278" s="1"/>
  <c r="L259" i="279"/>
  <c r="L261" i="279" s="1"/>
  <c r="H259" i="279"/>
  <c r="H261" i="279" s="1"/>
  <c r="J259" i="279"/>
  <c r="J261" i="279" s="1"/>
  <c r="N225" i="224"/>
  <c r="N227" i="224" s="1"/>
  <c r="I281" i="278"/>
  <c r="I283" i="278" s="1"/>
  <c r="M259" i="279"/>
  <c r="M261" i="279" s="1"/>
  <c r="N281" i="278"/>
  <c r="N283" i="278" s="1"/>
  <c r="M225" i="224"/>
  <c r="M227" i="224" s="1"/>
  <c r="P281" i="278"/>
  <c r="P283" i="278" s="1"/>
  <c r="H281" i="278"/>
  <c r="H283" i="278" s="1"/>
  <c r="N259" i="279"/>
  <c r="N261" i="279" s="1"/>
  <c r="L225" i="224"/>
  <c r="L227" i="224" s="1"/>
  <c r="O281" i="278"/>
  <c r="O283" i="278" s="1"/>
  <c r="O259" i="279"/>
  <c r="O261" i="279" s="1"/>
  <c r="K225" i="224"/>
  <c r="K227" i="224" s="1"/>
  <c r="J225" i="224"/>
  <c r="J227" i="224" s="1"/>
  <c r="M281" i="278"/>
  <c r="M283" i="278" s="1"/>
  <c r="I259" i="279"/>
  <c r="I261" i="279" s="1"/>
  <c r="G259" i="279"/>
  <c r="G261" i="279" s="1"/>
  <c r="I225" i="224"/>
  <c r="I227" i="224" s="1"/>
  <c r="H277" i="224"/>
  <c r="H279" i="224" s="1"/>
  <c r="H38" i="273"/>
  <c r="H40" i="273" s="1"/>
  <c r="N103" i="220"/>
  <c r="N105" i="220" s="1"/>
  <c r="H107" i="220"/>
  <c r="H109" i="220" s="1"/>
  <c r="I63" i="220"/>
  <c r="I65" i="220" s="1"/>
  <c r="I66" i="220" s="1"/>
  <c r="N63" i="220"/>
  <c r="N65" i="220" s="1"/>
  <c r="N66" i="220" s="1"/>
  <c r="O107" i="220"/>
  <c r="O109" i="220" s="1"/>
  <c r="O103" i="220"/>
  <c r="O105" i="220" s="1"/>
  <c r="I107" i="220"/>
  <c r="I109" i="220" s="1"/>
  <c r="J63" i="220"/>
  <c r="J65" i="220" s="1"/>
  <c r="J66" i="220" s="1"/>
  <c r="M103" i="220"/>
  <c r="M105" i="220" s="1"/>
  <c r="H103" i="220"/>
  <c r="H105" i="220" s="1"/>
  <c r="J107" i="220"/>
  <c r="J109" i="220" s="1"/>
  <c r="K63" i="220"/>
  <c r="K65" i="220" s="1"/>
  <c r="K66" i="220" s="1"/>
  <c r="I103" i="220"/>
  <c r="I105" i="220" s="1"/>
  <c r="K107" i="220"/>
  <c r="K109" i="220" s="1"/>
  <c r="L63" i="220"/>
  <c r="L65" i="220" s="1"/>
  <c r="L66" i="220" s="1"/>
  <c r="K103" i="220"/>
  <c r="K105" i="220" s="1"/>
  <c r="J103" i="220"/>
  <c r="J105" i="220" s="1"/>
  <c r="L107" i="220"/>
  <c r="L109" i="220" s="1"/>
  <c r="M63" i="220"/>
  <c r="M65" i="220" s="1"/>
  <c r="M66" i="220" s="1"/>
  <c r="M107" i="220"/>
  <c r="M109" i="220" s="1"/>
  <c r="L103" i="220"/>
  <c r="L105" i="220" s="1"/>
  <c r="N107" i="220"/>
  <c r="N109" i="220" s="1"/>
  <c r="L75" i="220"/>
  <c r="M75" i="220"/>
  <c r="N75" i="220"/>
  <c r="I75" i="220"/>
  <c r="O75" i="220"/>
  <c r="K75" i="220"/>
  <c r="H75" i="220"/>
  <c r="J75" i="220"/>
  <c r="I329" i="279"/>
  <c r="I331" i="279" s="1"/>
  <c r="I335" i="279" s="1"/>
  <c r="H129" i="219"/>
  <c r="H131" i="219" s="1"/>
  <c r="H152" i="219" s="1"/>
  <c r="H18" i="220"/>
  <c r="H20" i="220" s="1"/>
  <c r="H33" i="220" s="1"/>
  <c r="O18" i="220"/>
  <c r="O20" i="220" s="1"/>
  <c r="O33" i="220" s="1"/>
  <c r="J116" i="273"/>
  <c r="L116" i="273"/>
  <c r="N116" i="273"/>
  <c r="N124" i="273" s="1"/>
  <c r="Q116" i="273"/>
  <c r="Q124" i="273" s="1"/>
  <c r="K116" i="273"/>
  <c r="I116" i="273"/>
  <c r="P116" i="273"/>
  <c r="O116" i="273"/>
  <c r="M116" i="273"/>
  <c r="Q108" i="273"/>
  <c r="N108" i="273"/>
  <c r="L108" i="273"/>
  <c r="J108" i="273"/>
  <c r="O108" i="273"/>
  <c r="I108" i="273"/>
  <c r="P108" i="273"/>
  <c r="M108" i="273"/>
  <c r="K108" i="273"/>
  <c r="F103" i="220"/>
  <c r="F105" i="220" s="1"/>
  <c r="G107" i="220"/>
  <c r="G109" i="220" s="1"/>
  <c r="G103" i="220"/>
  <c r="G105" i="220" s="1"/>
  <c r="F107" i="220"/>
  <c r="F109" i="220" s="1"/>
  <c r="F75" i="220"/>
  <c r="F77" i="220" s="1"/>
  <c r="F89" i="220" s="1"/>
  <c r="G75" i="220"/>
  <c r="G77" i="220" s="1"/>
  <c r="G89" i="220" s="1"/>
  <c r="G63" i="220"/>
  <c r="G65" i="220" s="1"/>
  <c r="O63" i="220"/>
  <c r="O65" i="220" s="1"/>
  <c r="F63" i="220"/>
  <c r="F65" i="220" s="1"/>
  <c r="H63" i="220"/>
  <c r="H65" i="220" s="1"/>
  <c r="M124" i="273" l="1"/>
  <c r="O124" i="273"/>
  <c r="N438" i="279"/>
  <c r="N440" i="279" s="1"/>
  <c r="N441" i="279" s="1"/>
  <c r="P438" i="279"/>
  <c r="P440" i="279" s="1"/>
  <c r="P441" i="279" s="1"/>
  <c r="M438" i="279"/>
  <c r="M440" i="279" s="1"/>
  <c r="M441" i="279" s="1"/>
  <c r="G438" i="279"/>
  <c r="G440" i="279" s="1"/>
  <c r="G441" i="279" s="1"/>
  <c r="O438" i="279"/>
  <c r="O440" i="279" s="1"/>
  <c r="O441" i="279" s="1"/>
  <c r="J438" i="279"/>
  <c r="J440" i="279" s="1"/>
  <c r="J441" i="279" s="1"/>
  <c r="L438" i="279"/>
  <c r="L440" i="279" s="1"/>
  <c r="L441" i="279" s="1"/>
  <c r="K438" i="279"/>
  <c r="K440" i="279" s="1"/>
  <c r="K441" i="279" s="1"/>
  <c r="I438" i="279"/>
  <c r="I440" i="279" s="1"/>
  <c r="I441" i="279" s="1"/>
  <c r="H438" i="279"/>
  <c r="H440" i="279" s="1"/>
  <c r="H441" i="279" s="1"/>
  <c r="J144" i="272"/>
  <c r="I144" i="272"/>
  <c r="K144" i="272"/>
  <c r="H144" i="272"/>
  <c r="G144" i="272"/>
  <c r="F144" i="272"/>
  <c r="M144" i="272"/>
  <c r="L144" i="272"/>
  <c r="J82" i="272"/>
  <c r="J84" i="272" s="1"/>
  <c r="I82" i="272"/>
  <c r="I84" i="272" s="1"/>
  <c r="I32" i="272"/>
  <c r="I34" i="272" s="1"/>
  <c r="K82" i="272"/>
  <c r="K84" i="272" s="1"/>
  <c r="J32" i="272"/>
  <c r="J34" i="272" s="1"/>
  <c r="L82" i="272"/>
  <c r="L84" i="272" s="1"/>
  <c r="K32" i="272"/>
  <c r="K34" i="272" s="1"/>
  <c r="L32" i="272"/>
  <c r="L34" i="272" s="1"/>
  <c r="J166" i="224"/>
  <c r="L166" i="224"/>
  <c r="I166" i="224"/>
  <c r="I168" i="224" s="1"/>
  <c r="P166" i="224"/>
  <c r="K166" i="224"/>
  <c r="N166" i="224"/>
  <c r="H166" i="224"/>
  <c r="H168" i="224" s="1"/>
  <c r="O166" i="224"/>
  <c r="O168" i="224" s="1"/>
  <c r="O169" i="224" s="1"/>
  <c r="M166" i="224"/>
  <c r="G166" i="224"/>
  <c r="P124" i="273"/>
  <c r="K124" i="273"/>
  <c r="I124" i="273"/>
  <c r="L124" i="273"/>
  <c r="H124" i="273"/>
  <c r="J124" i="273"/>
  <c r="L381" i="279"/>
  <c r="L383" i="279" s="1"/>
  <c r="J161" i="219"/>
  <c r="J163" i="219" s="1"/>
  <c r="J168" i="219" s="1"/>
  <c r="I87" i="219"/>
  <c r="I89" i="219" s="1"/>
  <c r="I94" i="219" s="1"/>
  <c r="I129" i="219"/>
  <c r="I131" i="219" s="1"/>
  <c r="I152" i="219" s="1"/>
  <c r="J129" i="219"/>
  <c r="J131" i="219" s="1"/>
  <c r="J152" i="219" s="1"/>
  <c r="I109" i="219"/>
  <c r="I111" i="219" s="1"/>
  <c r="I115" i="219" s="1"/>
  <c r="M82" i="272"/>
  <c r="M84" i="272" s="1"/>
  <c r="F82" i="272"/>
  <c r="F84" i="272" s="1"/>
  <c r="G32" i="272"/>
  <c r="G34" i="272" s="1"/>
  <c r="G82" i="272"/>
  <c r="G84" i="272" s="1"/>
  <c r="H32" i="272"/>
  <c r="H34" i="272" s="1"/>
  <c r="M32" i="272"/>
  <c r="M34" i="272" s="1"/>
  <c r="F32" i="272"/>
  <c r="F34" i="272" s="1"/>
  <c r="H82" i="272"/>
  <c r="H84" i="272" s="1"/>
  <c r="H144" i="220"/>
  <c r="H146" i="220" s="1"/>
  <c r="H147" i="220" s="1"/>
  <c r="I144" i="220"/>
  <c r="I146" i="220" s="1"/>
  <c r="I147" i="220" s="1"/>
  <c r="M144" i="220"/>
  <c r="M146" i="220" s="1"/>
  <c r="M147" i="220" s="1"/>
  <c r="J144" i="220"/>
  <c r="J146" i="220" s="1"/>
  <c r="J147" i="220" s="1"/>
  <c r="F144" i="220"/>
  <c r="F146" i="220" s="1"/>
  <c r="K144" i="220"/>
  <c r="K146" i="220" s="1"/>
  <c r="K147" i="220" s="1"/>
  <c r="G190" i="279"/>
  <c r="G192" i="279" s="1"/>
  <c r="G193" i="279" s="1"/>
  <c r="L144" i="220"/>
  <c r="L146" i="220" s="1"/>
  <c r="L147" i="220" s="1"/>
  <c r="G144" i="220"/>
  <c r="G146" i="220" s="1"/>
  <c r="N144" i="220"/>
  <c r="N146" i="220" s="1"/>
  <c r="N147" i="220" s="1"/>
  <c r="O144" i="220"/>
  <c r="O146" i="220" s="1"/>
  <c r="O147" i="220" s="1"/>
  <c r="H161" i="273"/>
  <c r="H163" i="273" s="1"/>
  <c r="H164" i="273" s="1"/>
  <c r="J198" i="278"/>
  <c r="J200" i="278" s="1"/>
  <c r="J201" i="278" s="1"/>
  <c r="K190" i="279"/>
  <c r="K192" i="279" s="1"/>
  <c r="K193" i="279" s="1"/>
  <c r="I161" i="273"/>
  <c r="I163" i="273" s="1"/>
  <c r="I164" i="273" s="1"/>
  <c r="P29" i="228"/>
  <c r="P31" i="228" s="1"/>
  <c r="P32" i="228" s="1"/>
  <c r="M29" i="228"/>
  <c r="M31" i="228" s="1"/>
  <c r="M32" i="228" s="1"/>
  <c r="K29" i="228"/>
  <c r="K31" i="228" s="1"/>
  <c r="K32" i="228" s="1"/>
  <c r="N161" i="273"/>
  <c r="N163" i="273" s="1"/>
  <c r="N164" i="273" s="1"/>
  <c r="O198" i="278"/>
  <c r="O200" i="278" s="1"/>
  <c r="O201" i="278" s="1"/>
  <c r="L190" i="279"/>
  <c r="L192" i="279" s="1"/>
  <c r="L193" i="279" s="1"/>
  <c r="N29" i="228"/>
  <c r="N31" i="228" s="1"/>
  <c r="N32" i="228" s="1"/>
  <c r="M190" i="279"/>
  <c r="M192" i="279" s="1"/>
  <c r="M193" i="279" s="1"/>
  <c r="K161" i="273"/>
  <c r="K163" i="273" s="1"/>
  <c r="K164" i="273" s="1"/>
  <c r="G198" i="278"/>
  <c r="G200" i="278" s="1"/>
  <c r="G201" i="278" s="1"/>
  <c r="O190" i="279"/>
  <c r="O192" i="279" s="1"/>
  <c r="O193" i="279" s="1"/>
  <c r="I198" i="278"/>
  <c r="I200" i="278" s="1"/>
  <c r="I201" i="278" s="1"/>
  <c r="J190" i="279"/>
  <c r="J192" i="279" s="1"/>
  <c r="J193" i="279" s="1"/>
  <c r="J161" i="273"/>
  <c r="J163" i="273" s="1"/>
  <c r="J164" i="273" s="1"/>
  <c r="L29" i="228"/>
  <c r="L31" i="228" s="1"/>
  <c r="L32" i="228" s="1"/>
  <c r="O29" i="228"/>
  <c r="O31" i="228" s="1"/>
  <c r="O32" i="228" s="1"/>
  <c r="M161" i="273"/>
  <c r="M163" i="273" s="1"/>
  <c r="M164" i="273" s="1"/>
  <c r="N198" i="278"/>
  <c r="N200" i="278" s="1"/>
  <c r="N201" i="278" s="1"/>
  <c r="L198" i="278"/>
  <c r="L200" i="278" s="1"/>
  <c r="L201" i="278" s="1"/>
  <c r="J29" i="228"/>
  <c r="J31" i="228" s="1"/>
  <c r="J32" i="228" s="1"/>
  <c r="K198" i="278"/>
  <c r="K200" i="278" s="1"/>
  <c r="K201" i="278" s="1"/>
  <c r="P198" i="278"/>
  <c r="P200" i="278" s="1"/>
  <c r="P201" i="278" s="1"/>
  <c r="I190" i="279"/>
  <c r="I192" i="279" s="1"/>
  <c r="I193" i="279" s="1"/>
  <c r="P161" i="273"/>
  <c r="P163" i="273" s="1"/>
  <c r="P164" i="273" s="1"/>
  <c r="Q29" i="228"/>
  <c r="Q31" i="228" s="1"/>
  <c r="Q32" i="228" s="1"/>
  <c r="O161" i="273"/>
  <c r="O163" i="273" s="1"/>
  <c r="O164" i="273" s="1"/>
  <c r="H198" i="278"/>
  <c r="H200" i="278" s="1"/>
  <c r="H201" i="278" s="1"/>
  <c r="M198" i="278"/>
  <c r="M200" i="278" s="1"/>
  <c r="M201" i="278" s="1"/>
  <c r="P190" i="279"/>
  <c r="P192" i="279" s="1"/>
  <c r="P193" i="279" s="1"/>
  <c r="N190" i="279"/>
  <c r="N192" i="279" s="1"/>
  <c r="N193" i="279" s="1"/>
  <c r="L161" i="273"/>
  <c r="L163" i="273" s="1"/>
  <c r="L164" i="273" s="1"/>
  <c r="Q161" i="273"/>
  <c r="Q163" i="273" s="1"/>
  <c r="Q164" i="273" s="1"/>
  <c r="H190" i="279"/>
  <c r="H192" i="279" s="1"/>
  <c r="H193" i="279" s="1"/>
  <c r="M77" i="220"/>
  <c r="M89" i="220" s="1"/>
  <c r="L77" i="220"/>
  <c r="L89" i="220" s="1"/>
  <c r="J77" i="220"/>
  <c r="J89" i="220" s="1"/>
  <c r="N77" i="220"/>
  <c r="N89" i="220" s="1"/>
  <c r="H77" i="220"/>
  <c r="H89" i="220" s="1"/>
  <c r="K77" i="220"/>
  <c r="K89" i="220" s="1"/>
  <c r="O77" i="220"/>
  <c r="O89" i="220" s="1"/>
  <c r="I77" i="220"/>
  <c r="I89" i="220" s="1"/>
  <c r="G281" i="278"/>
  <c r="G283" i="278" s="1"/>
  <c r="L277" i="224"/>
  <c r="L279" i="224" s="1"/>
  <c r="L298" i="224" s="1"/>
  <c r="L300" i="224" s="1"/>
  <c r="K277" i="224"/>
  <c r="K279" i="224" s="1"/>
  <c r="K298" i="224" s="1"/>
  <c r="K300" i="224" s="1"/>
  <c r="M277" i="224"/>
  <c r="M279" i="224" s="1"/>
  <c r="M298" i="224" s="1"/>
  <c r="M300" i="224" s="1"/>
  <c r="N277" i="224"/>
  <c r="N279" i="224" s="1"/>
  <c r="N298" i="224" s="1"/>
  <c r="N300" i="224" s="1"/>
  <c r="O277" i="224"/>
  <c r="O279" i="224" s="1"/>
  <c r="O298" i="224" s="1"/>
  <c r="O300" i="224" s="1"/>
  <c r="P277" i="224"/>
  <c r="P279" i="224" s="1"/>
  <c r="P298" i="224" s="1"/>
  <c r="P300" i="224" s="1"/>
  <c r="I277" i="224"/>
  <c r="I279" i="224" s="1"/>
  <c r="I298" i="224" s="1"/>
  <c r="I300" i="224" s="1"/>
  <c r="G277" i="224"/>
  <c r="G279" i="224" s="1"/>
  <c r="G298" i="224" s="1"/>
  <c r="G300" i="224" s="1"/>
  <c r="J277" i="224"/>
  <c r="J279" i="224" s="1"/>
  <c r="J298" i="224" s="1"/>
  <c r="J300" i="224" s="1"/>
  <c r="H21" i="275"/>
  <c r="J21" i="275"/>
  <c r="F29" i="228"/>
  <c r="F31" i="228" s="1"/>
  <c r="F32" i="228" s="1"/>
  <c r="N229" i="219"/>
  <c r="N231" i="219" s="1"/>
  <c r="N232" i="219" s="1"/>
  <c r="K152" i="275"/>
  <c r="K154" i="275" s="1"/>
  <c r="K155" i="275" s="1"/>
  <c r="G29" i="228"/>
  <c r="G31" i="228" s="1"/>
  <c r="G32" i="228" s="1"/>
  <c r="G229" i="219"/>
  <c r="G231" i="219" s="1"/>
  <c r="G232" i="219" s="1"/>
  <c r="H29" i="228"/>
  <c r="H31" i="228" s="1"/>
  <c r="H32" i="228" s="1"/>
  <c r="N345" i="224"/>
  <c r="N347" i="224" s="1"/>
  <c r="N348" i="224" s="1"/>
  <c r="L229" i="219"/>
  <c r="L231" i="219" s="1"/>
  <c r="L232" i="219" s="1"/>
  <c r="P229" i="219"/>
  <c r="P231" i="219" s="1"/>
  <c r="P232" i="219" s="1"/>
  <c r="O152" i="275"/>
  <c r="O154" i="275" s="1"/>
  <c r="O155" i="275" s="1"/>
  <c r="I29" i="228"/>
  <c r="I31" i="228" s="1"/>
  <c r="I32" i="228" s="1"/>
  <c r="K229" i="219"/>
  <c r="K231" i="219" s="1"/>
  <c r="K232" i="219" s="1"/>
  <c r="K345" i="224"/>
  <c r="K347" i="224" s="1"/>
  <c r="K348" i="224" s="1"/>
  <c r="N152" i="275"/>
  <c r="N154" i="275" s="1"/>
  <c r="N155" i="275" s="1"/>
  <c r="O229" i="219"/>
  <c r="O231" i="219" s="1"/>
  <c r="O232" i="219" s="1"/>
  <c r="O345" i="224"/>
  <c r="O347" i="224" s="1"/>
  <c r="O348" i="224" s="1"/>
  <c r="G345" i="224"/>
  <c r="G347" i="224" s="1"/>
  <c r="G348" i="224" s="1"/>
  <c r="L38" i="273"/>
  <c r="M38" i="273"/>
  <c r="O38" i="273"/>
  <c r="I38" i="273"/>
  <c r="Q38" i="273"/>
  <c r="K38" i="273"/>
  <c r="P38" i="273"/>
  <c r="J38" i="273"/>
  <c r="N38" i="273"/>
  <c r="P345" i="224"/>
  <c r="P347" i="224" s="1"/>
  <c r="P348" i="224" s="1"/>
  <c r="J152" i="275"/>
  <c r="J154" i="275" s="1"/>
  <c r="J155" i="275" s="1"/>
  <c r="G152" i="275"/>
  <c r="G154" i="275" s="1"/>
  <c r="G155" i="275" s="1"/>
  <c r="H229" i="219"/>
  <c r="H231" i="219" s="1"/>
  <c r="H232" i="219" s="1"/>
  <c r="P152" i="275"/>
  <c r="P154" i="275" s="1"/>
  <c r="P155" i="275" s="1"/>
  <c r="I345" i="224"/>
  <c r="I347" i="224" s="1"/>
  <c r="I348" i="224" s="1"/>
  <c r="J345" i="224"/>
  <c r="J347" i="224" s="1"/>
  <c r="J348" i="224" s="1"/>
  <c r="H152" i="275"/>
  <c r="H154" i="275" s="1"/>
  <c r="H155" i="275" s="1"/>
  <c r="H345" i="224"/>
  <c r="H347" i="224" s="1"/>
  <c r="H348" i="224" s="1"/>
  <c r="I152" i="275"/>
  <c r="I154" i="275" s="1"/>
  <c r="I155" i="275" s="1"/>
  <c r="M229" i="219"/>
  <c r="M231" i="219" s="1"/>
  <c r="M232" i="219" s="1"/>
  <c r="M345" i="224"/>
  <c r="M347" i="224" s="1"/>
  <c r="M348" i="224" s="1"/>
  <c r="L152" i="275"/>
  <c r="L154" i="275" s="1"/>
  <c r="L155" i="275" s="1"/>
  <c r="J229" i="219"/>
  <c r="J231" i="219" s="1"/>
  <c r="J232" i="219" s="1"/>
  <c r="L345" i="224"/>
  <c r="L347" i="224" s="1"/>
  <c r="L348" i="224" s="1"/>
  <c r="M152" i="275"/>
  <c r="M154" i="275" s="1"/>
  <c r="M155" i="275" s="1"/>
  <c r="I229" i="219"/>
  <c r="I231" i="219" s="1"/>
  <c r="I232" i="219" s="1"/>
  <c r="N129" i="219"/>
  <c r="N131" i="219" s="1"/>
  <c r="P129" i="219"/>
  <c r="P131" i="219" s="1"/>
  <c r="M129" i="219"/>
  <c r="M131" i="219" s="1"/>
  <c r="L129" i="219"/>
  <c r="L131" i="219" s="1"/>
  <c r="O129" i="219"/>
  <c r="O131" i="219" s="1"/>
  <c r="L329" i="279"/>
  <c r="L331" i="279" s="1"/>
  <c r="L335" i="279" s="1"/>
  <c r="M349" i="279"/>
  <c r="M351" i="279" s="1"/>
  <c r="N349" i="279"/>
  <c r="N351" i="279" s="1"/>
  <c r="K329" i="279"/>
  <c r="K331" i="279" s="1"/>
  <c r="K335" i="279" s="1"/>
  <c r="K349" i="279"/>
  <c r="K351" i="279" s="1"/>
  <c r="L349" i="279"/>
  <c r="L351" i="279" s="1"/>
  <c r="O349" i="279"/>
  <c r="O351" i="279" s="1"/>
  <c r="P349" i="279"/>
  <c r="P351" i="279" s="1"/>
  <c r="H381" i="279"/>
  <c r="H383" i="279" s="1"/>
  <c r="G381" i="279"/>
  <c r="G383" i="279" s="1"/>
  <c r="K381" i="279"/>
  <c r="K383" i="279" s="1"/>
  <c r="I381" i="279"/>
  <c r="I383" i="279" s="1"/>
  <c r="M381" i="279"/>
  <c r="M383" i="279" s="1"/>
  <c r="N381" i="279"/>
  <c r="N383" i="279" s="1"/>
  <c r="O381" i="279"/>
  <c r="O383" i="279" s="1"/>
  <c r="P381" i="279"/>
  <c r="P383" i="279" s="1"/>
  <c r="P284" i="279"/>
  <c r="P286" i="279" s="1"/>
  <c r="P295" i="279" s="1"/>
  <c r="H284" i="279"/>
  <c r="H286" i="279" s="1"/>
  <c r="H295" i="279" s="1"/>
  <c r="K284" i="279"/>
  <c r="K286" i="279" s="1"/>
  <c r="K295" i="279" s="1"/>
  <c r="M284" i="279"/>
  <c r="M286" i="279" s="1"/>
  <c r="M295" i="279" s="1"/>
  <c r="M329" i="279"/>
  <c r="M331" i="279" s="1"/>
  <c r="M335" i="279" s="1"/>
  <c r="H329" i="279"/>
  <c r="H331" i="279" s="1"/>
  <c r="H335" i="279" s="1"/>
  <c r="G349" i="279"/>
  <c r="G351" i="279" s="1"/>
  <c r="O329" i="279"/>
  <c r="O331" i="279" s="1"/>
  <c r="O335" i="279" s="1"/>
  <c r="O284" i="279"/>
  <c r="O286" i="279" s="1"/>
  <c r="O295" i="279" s="1"/>
  <c r="G284" i="279"/>
  <c r="G286" i="279" s="1"/>
  <c r="G295" i="279" s="1"/>
  <c r="N329" i="279"/>
  <c r="N331" i="279" s="1"/>
  <c r="N335" i="279" s="1"/>
  <c r="G329" i="279"/>
  <c r="G331" i="279" s="1"/>
  <c r="G335" i="279" s="1"/>
  <c r="J284" i="279"/>
  <c r="J286" i="279" s="1"/>
  <c r="J295" i="279" s="1"/>
  <c r="N284" i="279"/>
  <c r="N286" i="279" s="1"/>
  <c r="N295" i="279" s="1"/>
  <c r="L284" i="279"/>
  <c r="L286" i="279" s="1"/>
  <c r="L295" i="279" s="1"/>
  <c r="P329" i="279"/>
  <c r="P331" i="279" s="1"/>
  <c r="P335" i="279" s="1"/>
  <c r="I284" i="279"/>
  <c r="I286" i="279" s="1"/>
  <c r="I295" i="279" s="1"/>
  <c r="H114" i="220"/>
  <c r="K114" i="220"/>
  <c r="N141" i="278"/>
  <c r="N143" i="278" s="1"/>
  <c r="P141" i="278"/>
  <c r="P143" i="278" s="1"/>
  <c r="G141" i="278"/>
  <c r="G143" i="278" s="1"/>
  <c r="M141" i="278"/>
  <c r="M143" i="278" s="1"/>
  <c r="L141" i="278"/>
  <c r="L143" i="278" s="1"/>
  <c r="O141" i="278"/>
  <c r="O143" i="278" s="1"/>
  <c r="I141" i="278"/>
  <c r="I143" i="278" s="1"/>
  <c r="K141" i="278"/>
  <c r="K143" i="278" s="1"/>
  <c r="H141" i="278"/>
  <c r="H143" i="278" s="1"/>
  <c r="P64" i="219"/>
  <c r="P66" i="219" s="1"/>
  <c r="M44" i="278"/>
  <c r="L44" i="278"/>
  <c r="H44" i="278"/>
  <c r="K44" i="278"/>
  <c r="N44" i="278"/>
  <c r="P44" i="278"/>
  <c r="O44" i="278"/>
  <c r="J44" i="278"/>
  <c r="I44" i="278"/>
  <c r="G44" i="278"/>
  <c r="N67" i="278"/>
  <c r="N69" i="278" s="1"/>
  <c r="N74" i="278" s="1"/>
  <c r="H67" i="278"/>
  <c r="H69" i="278" s="1"/>
  <c r="H74" i="278" s="1"/>
  <c r="O67" i="278"/>
  <c r="O69" i="278" s="1"/>
  <c r="O74" i="278" s="1"/>
  <c r="O89" i="278"/>
  <c r="O91" i="278" s="1"/>
  <c r="O95" i="278" s="1"/>
  <c r="H89" i="278"/>
  <c r="H91" i="278" s="1"/>
  <c r="H95" i="278" s="1"/>
  <c r="L67" i="278"/>
  <c r="L69" i="278" s="1"/>
  <c r="L74" i="278" s="1"/>
  <c r="P67" i="278"/>
  <c r="P69" i="278" s="1"/>
  <c r="P74" i="278" s="1"/>
  <c r="M67" i="278"/>
  <c r="M69" i="278" s="1"/>
  <c r="M74" i="278" s="1"/>
  <c r="G67" i="278"/>
  <c r="G69" i="278" s="1"/>
  <c r="G74" i="278" s="1"/>
  <c r="G89" i="278"/>
  <c r="G91" i="278" s="1"/>
  <c r="G95" i="278" s="1"/>
  <c r="N89" i="278"/>
  <c r="N91" i="278" s="1"/>
  <c r="N95" i="278" s="1"/>
  <c r="M89" i="278"/>
  <c r="M91" i="278" s="1"/>
  <c r="M95" i="278" s="1"/>
  <c r="P89" i="278"/>
  <c r="P91" i="278" s="1"/>
  <c r="P95" i="278" s="1"/>
  <c r="L89" i="278"/>
  <c r="L91" i="278" s="1"/>
  <c r="L95" i="278" s="1"/>
  <c r="K109" i="278"/>
  <c r="K111" i="278" s="1"/>
  <c r="K132" i="278" s="1"/>
  <c r="K67" i="278"/>
  <c r="K69" i="278" s="1"/>
  <c r="K74" i="278" s="1"/>
  <c r="G109" i="278"/>
  <c r="G111" i="278" s="1"/>
  <c r="K89" i="278"/>
  <c r="K91" i="278" s="1"/>
  <c r="K95" i="278" s="1"/>
  <c r="J114" i="220"/>
  <c r="L114" i="220"/>
  <c r="O114" i="220"/>
  <c r="M114" i="220"/>
  <c r="I114" i="220"/>
  <c r="N114" i="220"/>
  <c r="M64" i="219"/>
  <c r="M66" i="219" s="1"/>
  <c r="N64" i="219"/>
  <c r="N66" i="219" s="1"/>
  <c r="K64" i="219"/>
  <c r="K66" i="219" s="1"/>
  <c r="O64" i="219"/>
  <c r="O66" i="219" s="1"/>
  <c r="L64" i="219"/>
  <c r="L66" i="219" s="1"/>
  <c r="G64" i="219"/>
  <c r="G66" i="219" s="1"/>
  <c r="J64" i="219"/>
  <c r="J66" i="219" s="1"/>
  <c r="I64" i="219"/>
  <c r="I66" i="219" s="1"/>
  <c r="H64" i="219"/>
  <c r="H66" i="219" s="1"/>
  <c r="G161" i="219"/>
  <c r="G163" i="219" s="1"/>
  <c r="G168" i="219" s="1"/>
  <c r="H161" i="219"/>
  <c r="H163" i="219" s="1"/>
  <c r="H168" i="219" s="1"/>
  <c r="I161" i="219"/>
  <c r="I163" i="219" s="1"/>
  <c r="I168" i="219" s="1"/>
  <c r="H87" i="219"/>
  <c r="H89" i="219" s="1"/>
  <c r="H94" i="219" s="1"/>
  <c r="G87" i="219"/>
  <c r="G89" i="219" s="1"/>
  <c r="G94" i="219" s="1"/>
  <c r="G129" i="219"/>
  <c r="G131" i="219" s="1"/>
  <c r="G109" i="219"/>
  <c r="G111" i="219" s="1"/>
  <c r="G115" i="219" s="1"/>
  <c r="H109" i="219"/>
  <c r="H111" i="219" s="1"/>
  <c r="H115" i="219" s="1"/>
  <c r="O161" i="219"/>
  <c r="O163" i="219" s="1"/>
  <c r="O168" i="219" s="1"/>
  <c r="M161" i="219"/>
  <c r="M163" i="219" s="1"/>
  <c r="M168" i="219" s="1"/>
  <c r="N161" i="219"/>
  <c r="N163" i="219" s="1"/>
  <c r="N168" i="219" s="1"/>
  <c r="L161" i="219"/>
  <c r="L163" i="219" s="1"/>
  <c r="L168" i="219" s="1"/>
  <c r="P161" i="219"/>
  <c r="P163" i="219" s="1"/>
  <c r="P168" i="219" s="1"/>
  <c r="K161" i="219"/>
  <c r="K163" i="219" s="1"/>
  <c r="K168" i="219" s="1"/>
  <c r="L109" i="219"/>
  <c r="L111" i="219" s="1"/>
  <c r="L115" i="219" s="1"/>
  <c r="M109" i="219"/>
  <c r="M111" i="219" s="1"/>
  <c r="M115" i="219" s="1"/>
  <c r="P109" i="219"/>
  <c r="P111" i="219" s="1"/>
  <c r="P115" i="219" s="1"/>
  <c r="N109" i="219"/>
  <c r="N111" i="219" s="1"/>
  <c r="N115" i="219" s="1"/>
  <c r="O109" i="219"/>
  <c r="O111" i="219" s="1"/>
  <c r="O115" i="219" s="1"/>
  <c r="K109" i="219"/>
  <c r="K111" i="219" s="1"/>
  <c r="K115" i="219" s="1"/>
  <c r="K129" i="219"/>
  <c r="K131" i="219" s="1"/>
  <c r="H307" i="224"/>
  <c r="H309" i="224" s="1"/>
  <c r="H310" i="224" s="1"/>
  <c r="H329" i="224" s="1"/>
  <c r="H331" i="224" s="1"/>
  <c r="G307" i="224"/>
  <c r="G309" i="224" s="1"/>
  <c r="G310" i="224" s="1"/>
  <c r="G329" i="224" s="1"/>
  <c r="G331" i="224" s="1"/>
  <c r="I307" i="224"/>
  <c r="I309" i="224" s="1"/>
  <c r="I310" i="224" s="1"/>
  <c r="I329" i="224" s="1"/>
  <c r="I331" i="224" s="1"/>
  <c r="G247" i="224"/>
  <c r="I247" i="224"/>
  <c r="H298" i="224"/>
  <c r="H300" i="224" s="1"/>
  <c r="H247" i="224"/>
  <c r="O118" i="275"/>
  <c r="N118" i="275"/>
  <c r="H118" i="275"/>
  <c r="H88" i="275"/>
  <c r="L88" i="275"/>
  <c r="M118" i="275"/>
  <c r="G118" i="275"/>
  <c r="N88" i="275"/>
  <c r="K118" i="275"/>
  <c r="L118" i="275"/>
  <c r="P88" i="275"/>
  <c r="M88" i="275"/>
  <c r="K88" i="275"/>
  <c r="I88" i="275"/>
  <c r="J118" i="275"/>
  <c r="O88" i="275"/>
  <c r="G88" i="275"/>
  <c r="J88" i="275"/>
  <c r="P118" i="275"/>
  <c r="I118" i="275"/>
  <c r="I110" i="273"/>
  <c r="I111" i="273" s="1"/>
  <c r="O110" i="273"/>
  <c r="O111" i="273" s="1"/>
  <c r="K110" i="273"/>
  <c r="K111" i="273" s="1"/>
  <c r="J110" i="273"/>
  <c r="J111" i="273" s="1"/>
  <c r="Q110" i="273"/>
  <c r="Q111" i="273" s="1"/>
  <c r="M110" i="273"/>
  <c r="M111" i="273" s="1"/>
  <c r="L110" i="273"/>
  <c r="L111" i="273" s="1"/>
  <c r="P110" i="273"/>
  <c r="P111" i="273" s="1"/>
  <c r="N110" i="273"/>
  <c r="N111" i="273" s="1"/>
  <c r="P307" i="224"/>
  <c r="P309" i="224" s="1"/>
  <c r="P310" i="224" s="1"/>
  <c r="P329" i="224" s="1"/>
  <c r="P331" i="224" s="1"/>
  <c r="J307" i="224"/>
  <c r="J309" i="224" s="1"/>
  <c r="J310" i="224" s="1"/>
  <c r="J329" i="224" s="1"/>
  <c r="J331" i="224" s="1"/>
  <c r="K307" i="224"/>
  <c r="K309" i="224" s="1"/>
  <c r="K310" i="224" s="1"/>
  <c r="K329" i="224" s="1"/>
  <c r="K331" i="224" s="1"/>
  <c r="J247" i="224"/>
  <c r="M247" i="224"/>
  <c r="L307" i="224"/>
  <c r="L309" i="224" s="1"/>
  <c r="L310" i="224" s="1"/>
  <c r="L329" i="224" s="1"/>
  <c r="L331" i="224" s="1"/>
  <c r="P247" i="224"/>
  <c r="O307" i="224"/>
  <c r="O309" i="224" s="1"/>
  <c r="O310" i="224" s="1"/>
  <c r="O329" i="224" s="1"/>
  <c r="O331" i="224" s="1"/>
  <c r="O247" i="224"/>
  <c r="L247" i="224"/>
  <c r="K247" i="224"/>
  <c r="N247" i="224"/>
  <c r="N307" i="224"/>
  <c r="N309" i="224" s="1"/>
  <c r="N310" i="224" s="1"/>
  <c r="N329" i="224" s="1"/>
  <c r="N331" i="224" s="1"/>
  <c r="M307" i="224"/>
  <c r="M309" i="224" s="1"/>
  <c r="M310" i="224" s="1"/>
  <c r="M329" i="224" s="1"/>
  <c r="M331" i="224" s="1"/>
  <c r="O87" i="219"/>
  <c r="O89" i="219" s="1"/>
  <c r="O94" i="219" s="1"/>
  <c r="L87" i="219"/>
  <c r="L89" i="219" s="1"/>
  <c r="L94" i="219" s="1"/>
  <c r="K87" i="219"/>
  <c r="K89" i="219" s="1"/>
  <c r="K94" i="219" s="1"/>
  <c r="M87" i="219"/>
  <c r="M89" i="219" s="1"/>
  <c r="M94" i="219" s="1"/>
  <c r="P87" i="219"/>
  <c r="P89" i="219" s="1"/>
  <c r="P94" i="219" s="1"/>
  <c r="N87" i="219"/>
  <c r="N89" i="219" s="1"/>
  <c r="N94" i="219" s="1"/>
  <c r="F18" i="220" l="1"/>
  <c r="F20" i="220" s="1"/>
  <c r="F33" i="220" s="1"/>
  <c r="I119" i="224"/>
  <c r="I121" i="224" s="1"/>
  <c r="I122" i="224" s="1"/>
  <c r="J119" i="224"/>
  <c r="J121" i="224" s="1"/>
  <c r="J122" i="224" s="1"/>
  <c r="K119" i="224"/>
  <c r="K121" i="224" s="1"/>
  <c r="K122" i="224" s="1"/>
  <c r="P119" i="224"/>
  <c r="P121" i="224" s="1"/>
  <c r="P122" i="224" s="1"/>
  <c r="L119" i="224"/>
  <c r="L121" i="224" s="1"/>
  <c r="L122" i="224" s="1"/>
  <c r="M119" i="224"/>
  <c r="M121" i="224" s="1"/>
  <c r="M122" i="224" s="1"/>
  <c r="O119" i="224"/>
  <c r="O121" i="224" s="1"/>
  <c r="O122" i="224" s="1"/>
  <c r="N119" i="224"/>
  <c r="N121" i="224" s="1"/>
  <c r="N122" i="224" s="1"/>
  <c r="H119" i="224"/>
  <c r="H121" i="224" s="1"/>
  <c r="H122" i="224" s="1"/>
  <c r="G120" i="275"/>
  <c r="G139" i="275" s="1"/>
  <c r="H120" i="275"/>
  <c r="H139" i="275" s="1"/>
  <c r="J120" i="275"/>
  <c r="J139" i="275" s="1"/>
  <c r="M120" i="275"/>
  <c r="M139" i="275" s="1"/>
  <c r="I120" i="275"/>
  <c r="I139" i="275" s="1"/>
  <c r="P120" i="275"/>
  <c r="P139" i="275" s="1"/>
  <c r="L120" i="275"/>
  <c r="L139" i="275" s="1"/>
  <c r="N120" i="275"/>
  <c r="N139" i="275" s="1"/>
  <c r="K120" i="275"/>
  <c r="K139" i="275" s="1"/>
  <c r="O120" i="275"/>
  <c r="O139" i="275" s="1"/>
  <c r="I90" i="275"/>
  <c r="I109" i="275" s="1"/>
  <c r="K90" i="275"/>
  <c r="K109" i="275" s="1"/>
  <c r="L90" i="275"/>
  <c r="L109" i="275" s="1"/>
  <c r="M90" i="275"/>
  <c r="M109" i="275" s="1"/>
  <c r="P90" i="275"/>
  <c r="P109" i="275" s="1"/>
  <c r="O90" i="275"/>
  <c r="O109" i="275" s="1"/>
  <c r="H90" i="275"/>
  <c r="H109" i="275" s="1"/>
  <c r="H110" i="275" s="1"/>
  <c r="J90" i="275"/>
  <c r="J109" i="275" s="1"/>
  <c r="N90" i="275"/>
  <c r="N109" i="275" s="1"/>
  <c r="G90" i="275"/>
  <c r="G109" i="275" s="1"/>
  <c r="G110" i="275" s="1"/>
  <c r="M249" i="224"/>
  <c r="K249" i="224"/>
  <c r="N249" i="224"/>
  <c r="H249" i="224"/>
  <c r="G249" i="224"/>
  <c r="L249" i="224"/>
  <c r="J249" i="224"/>
  <c r="O249" i="224"/>
  <c r="P249" i="224"/>
  <c r="I249" i="224"/>
  <c r="I36" i="220"/>
  <c r="I38" i="220" s="1"/>
  <c r="I50" i="220" s="1"/>
  <c r="G36" i="220"/>
  <c r="G38" i="220" s="1"/>
  <c r="L36" i="220"/>
  <c r="L38" i="220" s="1"/>
  <c r="L50" i="220" s="1"/>
  <c r="N36" i="220"/>
  <c r="N38" i="220" s="1"/>
  <c r="N50" i="220" s="1"/>
  <c r="K36" i="220"/>
  <c r="K38" i="220" s="1"/>
  <c r="K50" i="220" s="1"/>
  <c r="J36" i="220"/>
  <c r="J38" i="220" s="1"/>
  <c r="J50" i="220" s="1"/>
  <c r="M36" i="220"/>
  <c r="M38" i="220" s="1"/>
  <c r="M50" i="220" s="1"/>
  <c r="H36" i="220"/>
  <c r="H38" i="220" s="1"/>
  <c r="F36" i="220"/>
  <c r="F38" i="220" s="1"/>
  <c r="O36" i="220"/>
  <c r="O38" i="220" s="1"/>
  <c r="O50" i="220" s="1"/>
  <c r="N46" i="278"/>
  <c r="N55" i="278" s="1"/>
  <c r="K46" i="278"/>
  <c r="K55" i="278" s="1"/>
  <c r="I46" i="278"/>
  <c r="I55" i="278" s="1"/>
  <c r="M46" i="278"/>
  <c r="M55" i="278" s="1"/>
  <c r="H46" i="278"/>
  <c r="H55" i="278" s="1"/>
  <c r="J46" i="278"/>
  <c r="J55" i="278" s="1"/>
  <c r="L46" i="278"/>
  <c r="L55" i="278" s="1"/>
  <c r="O46" i="278"/>
  <c r="O55" i="278" s="1"/>
  <c r="P46" i="278"/>
  <c r="P55" i="278" s="1"/>
  <c r="G299" i="224"/>
  <c r="O299" i="224"/>
  <c r="L299" i="224"/>
  <c r="N299" i="224"/>
  <c r="M299" i="224"/>
  <c r="J299" i="224"/>
  <c r="P299" i="224"/>
  <c r="K299" i="224"/>
  <c r="N330" i="224"/>
  <c r="K330" i="224"/>
  <c r="L330" i="224"/>
  <c r="O330" i="224"/>
  <c r="G330" i="224"/>
  <c r="J330" i="224"/>
  <c r="M330" i="224"/>
  <c r="P330" i="224"/>
  <c r="G114" i="220"/>
  <c r="F147" i="220"/>
  <c r="G147" i="220"/>
  <c r="F114" i="220"/>
  <c r="K63" i="224" l="1"/>
  <c r="K65" i="224" s="1"/>
  <c r="K69" i="224"/>
  <c r="K71" i="224" s="1"/>
  <c r="L69" i="224"/>
  <c r="L71" i="224" s="1"/>
  <c r="H69" i="224"/>
  <c r="H71" i="224" s="1"/>
  <c r="L63" i="224"/>
  <c r="L65" i="224" s="1"/>
  <c r="H63" i="224"/>
  <c r="H65" i="224" s="1"/>
  <c r="N69" i="224"/>
  <c r="N71" i="224" s="1"/>
  <c r="J63" i="224"/>
  <c r="J65" i="224" s="1"/>
  <c r="J69" i="224"/>
  <c r="J71" i="224" s="1"/>
  <c r="N63" i="224"/>
  <c r="N65" i="224" s="1"/>
  <c r="P63" i="224"/>
  <c r="P65" i="224" s="1"/>
  <c r="O63" i="224"/>
  <c r="O65" i="224" s="1"/>
  <c r="P69" i="224"/>
  <c r="P71" i="224" s="1"/>
  <c r="O69" i="224"/>
  <c r="O71" i="224" s="1"/>
  <c r="K21" i="275"/>
  <c r="G21" i="275"/>
  <c r="G23" i="275" s="1"/>
  <c r="G24" i="275" s="1"/>
  <c r="L21" i="275"/>
  <c r="L23" i="275" s="1"/>
  <c r="L24" i="275" s="1"/>
  <c r="M21" i="275"/>
  <c r="M23" i="275" s="1"/>
  <c r="M24" i="275" s="1"/>
  <c r="O21" i="275"/>
  <c r="O23" i="275" s="1"/>
  <c r="O24" i="275" s="1"/>
  <c r="P21" i="275"/>
  <c r="P23" i="275" s="1"/>
  <c r="P24" i="275" s="1"/>
  <c r="N21" i="275"/>
  <c r="N23" i="275" s="1"/>
  <c r="N24" i="275" s="1"/>
  <c r="G15" i="275"/>
  <c r="G247" i="279"/>
  <c r="G250" i="279" s="1"/>
  <c r="H247" i="279"/>
  <c r="H250" i="279" s="1"/>
  <c r="J50" i="272"/>
  <c r="J52" i="272" s="1"/>
  <c r="J108" i="272"/>
  <c r="J110" i="272" s="1"/>
  <c r="J116" i="272"/>
  <c r="J118" i="272" s="1"/>
  <c r="K120" i="272"/>
  <c r="K122" i="272" s="1"/>
  <c r="K126" i="272"/>
  <c r="K128" i="272" s="1"/>
  <c r="K130" i="272"/>
  <c r="K132" i="272" s="1"/>
  <c r="K50" i="272"/>
  <c r="K52" i="272" s="1"/>
  <c r="K108" i="272"/>
  <c r="K110" i="272" s="1"/>
  <c r="K116" i="272"/>
  <c r="K118" i="272" s="1"/>
  <c r="L120" i="272"/>
  <c r="L122" i="272" s="1"/>
  <c r="L126" i="272"/>
  <c r="L128" i="272" s="1"/>
  <c r="J100" i="272"/>
  <c r="J102" i="272" s="1"/>
  <c r="J103" i="272" s="1"/>
  <c r="I116" i="272"/>
  <c r="I118" i="272" s="1"/>
  <c r="L50" i="272"/>
  <c r="L52" i="272" s="1"/>
  <c r="L108" i="272"/>
  <c r="L110" i="272" s="1"/>
  <c r="L116" i="272"/>
  <c r="L118" i="272" s="1"/>
  <c r="I130" i="272"/>
  <c r="I132" i="272" s="1"/>
  <c r="J126" i="272"/>
  <c r="J128" i="272" s="1"/>
  <c r="I54" i="272"/>
  <c r="I56" i="272" s="1"/>
  <c r="I100" i="272"/>
  <c r="I102" i="272" s="1"/>
  <c r="I103" i="272" s="1"/>
  <c r="J130" i="272"/>
  <c r="J132" i="272" s="1"/>
  <c r="J54" i="272"/>
  <c r="J56" i="272" s="1"/>
  <c r="K54" i="272"/>
  <c r="K56" i="272" s="1"/>
  <c r="K100" i="272"/>
  <c r="K102" i="272" s="1"/>
  <c r="K103" i="272" s="1"/>
  <c r="L130" i="272"/>
  <c r="L132" i="272" s="1"/>
  <c r="L54" i="272"/>
  <c r="L56" i="272" s="1"/>
  <c r="L100" i="272"/>
  <c r="L102" i="272" s="1"/>
  <c r="L103" i="272" s="1"/>
  <c r="I120" i="272"/>
  <c r="I122" i="272" s="1"/>
  <c r="I126" i="272"/>
  <c r="I128" i="272" s="1"/>
  <c r="I50" i="272"/>
  <c r="I52" i="272" s="1"/>
  <c r="I108" i="272"/>
  <c r="I110" i="272" s="1"/>
  <c r="J120" i="272"/>
  <c r="J122" i="272" s="1"/>
  <c r="F100" i="272"/>
  <c r="F102" i="272" s="1"/>
  <c r="F103" i="272" s="1"/>
  <c r="F105" i="272" s="1"/>
  <c r="J23" i="275"/>
  <c r="J24" i="275" s="1"/>
  <c r="K23" i="275"/>
  <c r="K24" i="275" s="1"/>
  <c r="I74" i="273"/>
  <c r="I76" i="273" s="1"/>
  <c r="I77" i="273" s="1"/>
  <c r="Q74" i="273"/>
  <c r="Q76" i="273" s="1"/>
  <c r="Q77" i="273" s="1"/>
  <c r="J74" i="273"/>
  <c r="J76" i="273" s="1"/>
  <c r="J77" i="273" s="1"/>
  <c r="H74" i="273"/>
  <c r="H76" i="273" s="1"/>
  <c r="H77" i="273" s="1"/>
  <c r="L74" i="273"/>
  <c r="L76" i="273" s="1"/>
  <c r="L77" i="273" s="1"/>
  <c r="M74" i="273"/>
  <c r="M76" i="273" s="1"/>
  <c r="M77" i="273" s="1"/>
  <c r="N74" i="273"/>
  <c r="N76" i="273" s="1"/>
  <c r="N77" i="273" s="1"/>
  <c r="O74" i="273"/>
  <c r="O76" i="273" s="1"/>
  <c r="O77" i="273" s="1"/>
  <c r="P74" i="273"/>
  <c r="P76" i="273" s="1"/>
  <c r="P77" i="273" s="1"/>
  <c r="K74" i="273"/>
  <c r="K76" i="273" s="1"/>
  <c r="K77" i="273" s="1"/>
  <c r="I268" i="224"/>
  <c r="I270" i="224" s="1"/>
  <c r="K268" i="224"/>
  <c r="K270" i="224" s="1"/>
  <c r="P268" i="224"/>
  <c r="P270" i="224" s="1"/>
  <c r="M268" i="224"/>
  <c r="M270" i="224" s="1"/>
  <c r="O268" i="224"/>
  <c r="O270" i="224" s="1"/>
  <c r="N268" i="224"/>
  <c r="N270" i="224" s="1"/>
  <c r="J268" i="224"/>
  <c r="J270" i="224" s="1"/>
  <c r="L268" i="224"/>
  <c r="L270" i="224" s="1"/>
  <c r="H268" i="224"/>
  <c r="H270" i="224" s="1"/>
  <c r="G268" i="224"/>
  <c r="G270" i="224" s="1"/>
  <c r="H214" i="224"/>
  <c r="G214" i="224"/>
  <c r="G119" i="224"/>
  <c r="G50" i="272"/>
  <c r="G52" i="272" s="1"/>
  <c r="H50" i="272"/>
  <c r="H52" i="272" s="1"/>
  <c r="M50" i="272"/>
  <c r="M52" i="272" s="1"/>
  <c r="F50" i="272"/>
  <c r="F52" i="272" s="1"/>
  <c r="O67" i="275"/>
  <c r="O69" i="275" s="1"/>
  <c r="O70" i="275" s="1"/>
  <c r="K93" i="228"/>
  <c r="K95" i="228" s="1"/>
  <c r="K96" i="228" s="1"/>
  <c r="Q93" i="228"/>
  <c r="Q95" i="228" s="1"/>
  <c r="Q96" i="228" s="1"/>
  <c r="L93" i="228"/>
  <c r="L95" i="228" s="1"/>
  <c r="L96" i="228" s="1"/>
  <c r="O93" i="228"/>
  <c r="O95" i="228" s="1"/>
  <c r="O96" i="228" s="1"/>
  <c r="P93" i="228"/>
  <c r="P95" i="228" s="1"/>
  <c r="P96" i="228" s="1"/>
  <c r="J93" i="228"/>
  <c r="J95" i="228" s="1"/>
  <c r="J96" i="228" s="1"/>
  <c r="M93" i="228"/>
  <c r="M95" i="228" s="1"/>
  <c r="M96" i="228" s="1"/>
  <c r="N93" i="228"/>
  <c r="N95" i="228" s="1"/>
  <c r="N96" i="228" s="1"/>
  <c r="E38" i="250"/>
  <c r="G38" i="250" s="1"/>
  <c r="G54" i="272"/>
  <c r="G56" i="272" s="1"/>
  <c r="H54" i="272"/>
  <c r="H56" i="272" s="1"/>
  <c r="M54" i="272"/>
  <c r="M56" i="272" s="1"/>
  <c r="G100" i="272"/>
  <c r="G102" i="272" s="1"/>
  <c r="G103" i="272" s="1"/>
  <c r="G105" i="272" s="1"/>
  <c r="F54" i="272"/>
  <c r="F56" i="272" s="1"/>
  <c r="H100" i="272"/>
  <c r="H102" i="272" s="1"/>
  <c r="H103" i="272" s="1"/>
  <c r="H105" i="272" s="1"/>
  <c r="M100" i="272"/>
  <c r="M102" i="272" s="1"/>
  <c r="M103" i="272" s="1"/>
  <c r="M105" i="272" s="1"/>
  <c r="H130" i="272"/>
  <c r="H132" i="272" s="1"/>
  <c r="G126" i="272"/>
  <c r="G128" i="272" s="1"/>
  <c r="M130" i="272"/>
  <c r="M132" i="272" s="1"/>
  <c r="H126" i="272"/>
  <c r="H128" i="272" s="1"/>
  <c r="F130" i="272"/>
  <c r="F132" i="272" s="1"/>
  <c r="M126" i="272"/>
  <c r="M128" i="272" s="1"/>
  <c r="F126" i="272"/>
  <c r="F128" i="272" s="1"/>
  <c r="G130" i="272"/>
  <c r="G132" i="272" s="1"/>
  <c r="J254" i="279"/>
  <c r="J256" i="279" s="1"/>
  <c r="G120" i="272"/>
  <c r="G122" i="272" s="1"/>
  <c r="H120" i="272"/>
  <c r="H122" i="272" s="1"/>
  <c r="M120" i="272"/>
  <c r="M122" i="272" s="1"/>
  <c r="F120" i="272"/>
  <c r="F122" i="272" s="1"/>
  <c r="M108" i="272"/>
  <c r="M110" i="272" s="1"/>
  <c r="G108" i="272"/>
  <c r="G110" i="272" s="1"/>
  <c r="H108" i="272"/>
  <c r="H110" i="272" s="1"/>
  <c r="F108" i="272"/>
  <c r="F110" i="272" s="1"/>
  <c r="M307" i="219"/>
  <c r="M309" i="219" s="1"/>
  <c r="M310" i="219" s="1"/>
  <c r="J276" i="278"/>
  <c r="J278" i="278" s="1"/>
  <c r="J284" i="278" s="1"/>
  <c r="N254" i="279"/>
  <c r="N256" i="279" s="1"/>
  <c r="N262" i="279" s="1"/>
  <c r="J307" i="219"/>
  <c r="J309" i="219" s="1"/>
  <c r="J310" i="219" s="1"/>
  <c r="M253" i="220"/>
  <c r="M255" i="220" s="1"/>
  <c r="M256" i="220" s="1"/>
  <c r="K67" i="275"/>
  <c r="K69" i="275" s="1"/>
  <c r="K70" i="275" s="1"/>
  <c r="K253" i="220"/>
  <c r="K255" i="220" s="1"/>
  <c r="K256" i="220" s="1"/>
  <c r="M254" i="279"/>
  <c r="M256" i="279" s="1"/>
  <c r="M262" i="279" s="1"/>
  <c r="H93" i="228"/>
  <c r="H95" i="228" s="1"/>
  <c r="H96" i="228" s="1"/>
  <c r="L276" i="278"/>
  <c r="L278" i="278" s="1"/>
  <c r="L284" i="278" s="1"/>
  <c r="N67" i="275"/>
  <c r="N69" i="275" s="1"/>
  <c r="N70" i="275" s="1"/>
  <c r="N307" i="219"/>
  <c r="N309" i="219" s="1"/>
  <c r="N310" i="219" s="1"/>
  <c r="I67" i="275"/>
  <c r="I69" i="275" s="1"/>
  <c r="I70" i="275" s="1"/>
  <c r="I307" i="219"/>
  <c r="I309" i="219" s="1"/>
  <c r="I310" i="219" s="1"/>
  <c r="I220" i="224"/>
  <c r="I222" i="224" s="1"/>
  <c r="N276" i="278"/>
  <c r="N278" i="278" s="1"/>
  <c r="N284" i="278" s="1"/>
  <c r="O220" i="224"/>
  <c r="O222" i="224" s="1"/>
  <c r="M67" i="275"/>
  <c r="M69" i="275" s="1"/>
  <c r="M70" i="275" s="1"/>
  <c r="O253" i="220"/>
  <c r="O255" i="220" s="1"/>
  <c r="O256" i="220" s="1"/>
  <c r="O307" i="219"/>
  <c r="O309" i="219" s="1"/>
  <c r="O310" i="219" s="1"/>
  <c r="P307" i="219"/>
  <c r="P309" i="219" s="1"/>
  <c r="P310" i="219" s="1"/>
  <c r="M276" i="278"/>
  <c r="M278" i="278" s="1"/>
  <c r="M284" i="278" s="1"/>
  <c r="H253" i="220"/>
  <c r="H255" i="220" s="1"/>
  <c r="H256" i="220" s="1"/>
  <c r="N220" i="224"/>
  <c r="N222" i="224" s="1"/>
  <c r="I93" i="228"/>
  <c r="I95" i="228" s="1"/>
  <c r="I96" i="228" s="1"/>
  <c r="K307" i="219"/>
  <c r="K309" i="219" s="1"/>
  <c r="K310" i="219" s="1"/>
  <c r="M220" i="224"/>
  <c r="M222" i="224" s="1"/>
  <c r="K276" i="278"/>
  <c r="K278" i="278" s="1"/>
  <c r="K284" i="278" s="1"/>
  <c r="L253" i="220"/>
  <c r="L255" i="220" s="1"/>
  <c r="L256" i="220" s="1"/>
  <c r="P67" i="275"/>
  <c r="P69" i="275" s="1"/>
  <c r="P70" i="275" s="1"/>
  <c r="K254" i="279"/>
  <c r="K256" i="279" s="1"/>
  <c r="K262" i="279" s="1"/>
  <c r="O254" i="279"/>
  <c r="O256" i="279" s="1"/>
  <c r="O262" i="279" s="1"/>
  <c r="J253" i="220"/>
  <c r="J255" i="220" s="1"/>
  <c r="J256" i="220" s="1"/>
  <c r="L307" i="219"/>
  <c r="L309" i="219" s="1"/>
  <c r="L310" i="219" s="1"/>
  <c r="L67" i="275"/>
  <c r="L69" i="275" s="1"/>
  <c r="L70" i="275" s="1"/>
  <c r="J67" i="275"/>
  <c r="J69" i="275" s="1"/>
  <c r="J70" i="275" s="1"/>
  <c r="I253" i="220"/>
  <c r="I255" i="220" s="1"/>
  <c r="I256" i="220" s="1"/>
  <c r="L220" i="224"/>
  <c r="L222" i="224" s="1"/>
  <c r="P276" i="278"/>
  <c r="P278" i="278" s="1"/>
  <c r="P284" i="278" s="1"/>
  <c r="P220" i="224"/>
  <c r="P222" i="224" s="1"/>
  <c r="L254" i="279"/>
  <c r="L256" i="279" s="1"/>
  <c r="L262" i="279" s="1"/>
  <c r="I254" i="279"/>
  <c r="I256" i="279" s="1"/>
  <c r="O276" i="278"/>
  <c r="O278" i="278" s="1"/>
  <c r="O284" i="278" s="1"/>
  <c r="J220" i="224"/>
  <c r="J222" i="224" s="1"/>
  <c r="K220" i="224"/>
  <c r="K222" i="224" s="1"/>
  <c r="N253" i="220"/>
  <c r="N255" i="220" s="1"/>
  <c r="N256" i="220" s="1"/>
  <c r="I276" i="278"/>
  <c r="I278" i="278" s="1"/>
  <c r="I284" i="278" s="1"/>
  <c r="P254" i="279"/>
  <c r="P256" i="279" s="1"/>
  <c r="P262" i="279" s="1"/>
  <c r="H276" i="278"/>
  <c r="H278" i="278" s="1"/>
  <c r="H284" i="278" s="1"/>
  <c r="G93" i="228"/>
  <c r="G95" i="228" s="1"/>
  <c r="G96" i="228" s="1"/>
  <c r="H307" i="219"/>
  <c r="H309" i="219" s="1"/>
  <c r="H310" i="219" s="1"/>
  <c r="G307" i="219"/>
  <c r="G309" i="219" s="1"/>
  <c r="G310" i="219" s="1"/>
  <c r="G220" i="224"/>
  <c r="G222" i="224" s="1"/>
  <c r="G253" i="220"/>
  <c r="G255" i="220" s="1"/>
  <c r="G256" i="220" s="1"/>
  <c r="H220" i="224"/>
  <c r="H222" i="224" s="1"/>
  <c r="F253" i="220"/>
  <c r="F255" i="220" s="1"/>
  <c r="F256" i="220" s="1"/>
  <c r="H254" i="279"/>
  <c r="H256" i="279" s="1"/>
  <c r="G254" i="279"/>
  <c r="G256" i="279" s="1"/>
  <c r="G67" i="275"/>
  <c r="G69" i="275" s="1"/>
  <c r="G70" i="275" s="1"/>
  <c r="G276" i="278"/>
  <c r="G278" i="278" s="1"/>
  <c r="G284" i="278" s="1"/>
  <c r="F93" i="228"/>
  <c r="F95" i="228" s="1"/>
  <c r="F96" i="228" s="1"/>
  <c r="H67" i="275"/>
  <c r="H69" i="275" s="1"/>
  <c r="H70" i="275" s="1"/>
  <c r="H50" i="224"/>
  <c r="H52" i="224" s="1"/>
  <c r="K50" i="224"/>
  <c r="K52" i="224" s="1"/>
  <c r="M50" i="224"/>
  <c r="M52" i="224" s="1"/>
  <c r="I50" i="224"/>
  <c r="I52" i="224" s="1"/>
  <c r="L50" i="224"/>
  <c r="L52" i="224" s="1"/>
  <c r="O50" i="224"/>
  <c r="O52" i="224" s="1"/>
  <c r="J50" i="224"/>
  <c r="J52" i="224" s="1"/>
  <c r="P50" i="224"/>
  <c r="P52" i="224" s="1"/>
  <c r="G50" i="224"/>
  <c r="G52" i="224" s="1"/>
  <c r="N50" i="224"/>
  <c r="N52" i="224" s="1"/>
  <c r="H102" i="279"/>
  <c r="H104" i="279" s="1"/>
  <c r="H105" i="279" s="1"/>
  <c r="J102" i="279"/>
  <c r="J104" i="279" s="1"/>
  <c r="J105" i="279" s="1"/>
  <c r="P102" i="279"/>
  <c r="K102" i="279"/>
  <c r="O102" i="279"/>
  <c r="N102" i="279"/>
  <c r="I102" i="279"/>
  <c r="M102" i="279"/>
  <c r="F116" i="272"/>
  <c r="F118" i="272" s="1"/>
  <c r="H116" i="272"/>
  <c r="H118" i="272" s="1"/>
  <c r="G116" i="272"/>
  <c r="G118" i="272" s="1"/>
  <c r="M116" i="272"/>
  <c r="M118" i="272" s="1"/>
  <c r="H141" i="275"/>
  <c r="H140" i="275"/>
  <c r="G141" i="275"/>
  <c r="G140" i="275"/>
  <c r="O141" i="275"/>
  <c r="O140" i="275"/>
  <c r="K141" i="275"/>
  <c r="K140" i="275"/>
  <c r="L141" i="275"/>
  <c r="L140" i="275"/>
  <c r="N141" i="275"/>
  <c r="N140" i="275"/>
  <c r="P141" i="275"/>
  <c r="P140" i="275"/>
  <c r="I141" i="275"/>
  <c r="I140" i="275"/>
  <c r="M141" i="275"/>
  <c r="M140" i="275"/>
  <c r="J141" i="275"/>
  <c r="J140" i="275"/>
  <c r="J111" i="275"/>
  <c r="H111" i="275"/>
  <c r="O111" i="275"/>
  <c r="P111" i="275"/>
  <c r="M111" i="275"/>
  <c r="L111" i="275"/>
  <c r="K111" i="275"/>
  <c r="N111" i="275"/>
  <c r="I111" i="275"/>
  <c r="G111" i="275"/>
  <c r="G269" i="224"/>
  <c r="P269" i="224"/>
  <c r="J269" i="224"/>
  <c r="L269" i="224"/>
  <c r="I269" i="224"/>
  <c r="H269" i="224"/>
  <c r="N269" i="224"/>
  <c r="O269" i="224"/>
  <c r="K269" i="224"/>
  <c r="M269" i="224"/>
  <c r="M69" i="224" l="1"/>
  <c r="M71" i="224" s="1"/>
  <c r="M63" i="224"/>
  <c r="M65" i="224" s="1"/>
  <c r="I63" i="224"/>
  <c r="I65" i="224" s="1"/>
  <c r="G63" i="224"/>
  <c r="G65" i="224" s="1"/>
  <c r="I69" i="224"/>
  <c r="I71" i="224" s="1"/>
  <c r="G69" i="224"/>
  <c r="G71" i="224" s="1"/>
  <c r="H262" i="279"/>
  <c r="G262" i="279"/>
  <c r="I247" i="279"/>
  <c r="I250" i="279" s="1"/>
  <c r="I262" i="279" s="1"/>
  <c r="J247" i="279"/>
  <c r="J250" i="279" s="1"/>
  <c r="J262" i="279" s="1"/>
  <c r="L57" i="272"/>
  <c r="L58" i="272" s="1"/>
  <c r="F146" i="272"/>
  <c r="F147" i="272" s="1"/>
  <c r="K146" i="272"/>
  <c r="K147" i="272" s="1"/>
  <c r="M146" i="272"/>
  <c r="M147" i="272" s="1"/>
  <c r="J146" i="272"/>
  <c r="J147" i="272" s="1"/>
  <c r="H146" i="272"/>
  <c r="H147" i="272" s="1"/>
  <c r="I146" i="272"/>
  <c r="I147" i="272" s="1"/>
  <c r="G146" i="272"/>
  <c r="G147" i="272" s="1"/>
  <c r="L146" i="272"/>
  <c r="L147" i="272" s="1"/>
  <c r="I57" i="272"/>
  <c r="I58" i="272" s="1"/>
  <c r="I133" i="272"/>
  <c r="L133" i="272"/>
  <c r="J112" i="272"/>
  <c r="J114" i="272" s="1"/>
  <c r="J123" i="272" s="1"/>
  <c r="K112" i="272"/>
  <c r="K114" i="272" s="1"/>
  <c r="K123" i="272" s="1"/>
  <c r="L112" i="272"/>
  <c r="L114" i="272" s="1"/>
  <c r="L123" i="272" s="1"/>
  <c r="I112" i="272"/>
  <c r="I114" i="272" s="1"/>
  <c r="I123" i="272" s="1"/>
  <c r="K105" i="272"/>
  <c r="K104" i="272"/>
  <c r="K57" i="272"/>
  <c r="K58" i="272" s="1"/>
  <c r="K133" i="272"/>
  <c r="I104" i="272"/>
  <c r="I105" i="272"/>
  <c r="J105" i="272"/>
  <c r="J104" i="272"/>
  <c r="L105" i="272"/>
  <c r="L104" i="272"/>
  <c r="J133" i="272"/>
  <c r="J57" i="272"/>
  <c r="G57" i="272"/>
  <c r="M57" i="272"/>
  <c r="M59" i="272" s="1"/>
  <c r="H57" i="272"/>
  <c r="H59" i="272" s="1"/>
  <c r="I214" i="224"/>
  <c r="J214" i="224"/>
  <c r="L214" i="224"/>
  <c r="K214" i="224"/>
  <c r="N214" i="224"/>
  <c r="P214" i="224"/>
  <c r="O214" i="224"/>
  <c r="M214" i="224"/>
  <c r="F57" i="272"/>
  <c r="G102" i="279"/>
  <c r="G104" i="279" s="1"/>
  <c r="G105" i="279" s="1"/>
  <c r="L102" i="279"/>
  <c r="L104" i="279" s="1"/>
  <c r="L105" i="279" s="1"/>
  <c r="H63" i="273"/>
  <c r="H66" i="273" s="1"/>
  <c r="H67" i="273" s="1"/>
  <c r="M104" i="272"/>
  <c r="H104" i="272"/>
  <c r="G104" i="272"/>
  <c r="F104" i="272"/>
  <c r="G133" i="272"/>
  <c r="M133" i="272"/>
  <c r="H133" i="272"/>
  <c r="F133" i="272"/>
  <c r="F112" i="272"/>
  <c r="F114" i="272" s="1"/>
  <c r="F123" i="272" s="1"/>
  <c r="M112" i="272"/>
  <c r="M114" i="272" s="1"/>
  <c r="G112" i="272"/>
  <c r="G114" i="272" s="1"/>
  <c r="H112" i="272"/>
  <c r="H114" i="272" s="1"/>
  <c r="I104" i="279"/>
  <c r="I105" i="279" s="1"/>
  <c r="N104" i="279"/>
  <c r="N105" i="279" s="1"/>
  <c r="K104" i="279"/>
  <c r="K105" i="279" s="1"/>
  <c r="O104" i="279"/>
  <c r="O105" i="279" s="1"/>
  <c r="P104" i="279"/>
  <c r="P105" i="279" s="1"/>
  <c r="M104" i="279"/>
  <c r="M105" i="279" s="1"/>
  <c r="E81" i="250"/>
  <c r="G81" i="250" s="1"/>
  <c r="P63" i="273"/>
  <c r="P66" i="273" s="1"/>
  <c r="P67" i="273" s="1"/>
  <c r="L63" i="273"/>
  <c r="L66" i="273" s="1"/>
  <c r="L67" i="273" s="1"/>
  <c r="O63" i="273"/>
  <c r="O66" i="273" s="1"/>
  <c r="O67" i="273" s="1"/>
  <c r="I63" i="273"/>
  <c r="I66" i="273" s="1"/>
  <c r="I67" i="273" s="1"/>
  <c r="J63" i="273"/>
  <c r="J66" i="273" s="1"/>
  <c r="J67" i="273" s="1"/>
  <c r="K63" i="273"/>
  <c r="K66" i="273" s="1"/>
  <c r="K67" i="273" s="1"/>
  <c r="Q63" i="273"/>
  <c r="Q66" i="273" s="1"/>
  <c r="Q67" i="273" s="1"/>
  <c r="M63" i="273"/>
  <c r="M66" i="273" s="1"/>
  <c r="M67" i="273" s="1"/>
  <c r="N63" i="273"/>
  <c r="N66" i="273" s="1"/>
  <c r="N67" i="273" s="1"/>
  <c r="M57" i="224"/>
  <c r="M59" i="224" s="1"/>
  <c r="M72" i="224" s="1"/>
  <c r="G57" i="224"/>
  <c r="G59" i="224" s="1"/>
  <c r="G72" i="224" l="1"/>
  <c r="J58" i="272"/>
  <c r="J59" i="272"/>
  <c r="M58" i="272"/>
  <c r="H58" i="272"/>
  <c r="G58" i="272"/>
  <c r="G59" i="272"/>
  <c r="F58" i="272"/>
  <c r="F59" i="272"/>
  <c r="H156" i="224"/>
  <c r="H216" i="224"/>
  <c r="H228" i="224" s="1"/>
  <c r="H17" i="273"/>
  <c r="H20" i="273" s="1"/>
  <c r="H23" i="273"/>
  <c r="H25" i="273" s="1"/>
  <c r="H12" i="273"/>
  <c r="H15" i="273" s="1"/>
  <c r="M123" i="272"/>
  <c r="H123" i="272"/>
  <c r="G123" i="272"/>
  <c r="G35" i="224"/>
  <c r="G37" i="224" s="1"/>
  <c r="E78" i="250"/>
  <c r="G78" i="250" s="1"/>
  <c r="E79" i="250"/>
  <c r="G79" i="250" s="1"/>
  <c r="E80" i="250"/>
  <c r="G80" i="250" s="1"/>
  <c r="E77" i="250"/>
  <c r="G77" i="250" s="1"/>
  <c r="E39" i="250"/>
  <c r="G39" i="250" s="1"/>
  <c r="E40" i="250"/>
  <c r="G40" i="250" s="1"/>
  <c r="J27" i="224"/>
  <c r="J29" i="224" s="1"/>
  <c r="P27" i="224"/>
  <c r="P29" i="224" s="1"/>
  <c r="O27" i="224"/>
  <c r="O29" i="224" s="1"/>
  <c r="M27" i="224"/>
  <c r="M29" i="224" s="1"/>
  <c r="K27" i="224"/>
  <c r="K29" i="224" s="1"/>
  <c r="L27" i="224"/>
  <c r="L29" i="224" s="1"/>
  <c r="N27" i="224"/>
  <c r="N29" i="224" s="1"/>
  <c r="M12" i="273"/>
  <c r="M15" i="273" s="1"/>
  <c r="K23" i="273"/>
  <c r="K25" i="273" s="1"/>
  <c r="O23" i="273"/>
  <c r="O25" i="273" s="1"/>
  <c r="J23" i="273"/>
  <c r="J25" i="273" s="1"/>
  <c r="I23" i="273"/>
  <c r="I25" i="273" s="1"/>
  <c r="M23" i="273"/>
  <c r="M25" i="273" s="1"/>
  <c r="Q23" i="273"/>
  <c r="Q25" i="273" s="1"/>
  <c r="P23" i="273"/>
  <c r="P25" i="273" s="1"/>
  <c r="N23" i="273"/>
  <c r="N25" i="273" s="1"/>
  <c r="L23" i="273"/>
  <c r="L25" i="273" s="1"/>
  <c r="I17" i="273"/>
  <c r="I20" i="273" s="1"/>
  <c r="K17" i="273"/>
  <c r="K20" i="273" s="1"/>
  <c r="J17" i="273"/>
  <c r="J20" i="273" s="1"/>
  <c r="O17" i="273"/>
  <c r="O20" i="273" s="1"/>
  <c r="L17" i="273"/>
  <c r="L20" i="273" s="1"/>
  <c r="K12" i="273"/>
  <c r="K15" i="273" s="1"/>
  <c r="M17" i="273"/>
  <c r="M20" i="273" s="1"/>
  <c r="N12" i="273"/>
  <c r="N15" i="273" s="1"/>
  <c r="Q12" i="273"/>
  <c r="Q15" i="273" s="1"/>
  <c r="J12" i="273"/>
  <c r="J15" i="273" s="1"/>
  <c r="I12" i="273"/>
  <c r="I15" i="273" s="1"/>
  <c r="Q17" i="273"/>
  <c r="Q20" i="273" s="1"/>
  <c r="P17" i="273"/>
  <c r="P20" i="273" s="1"/>
  <c r="P12" i="273"/>
  <c r="P15" i="273" s="1"/>
  <c r="N17" i="273"/>
  <c r="N20" i="273" s="1"/>
  <c r="O12" i="273"/>
  <c r="O15" i="273" s="1"/>
  <c r="L12" i="273"/>
  <c r="L15" i="273" s="1"/>
  <c r="H57" i="224"/>
  <c r="H59" i="224" s="1"/>
  <c r="H72" i="224" s="1"/>
  <c r="J57" i="224"/>
  <c r="J59" i="224" s="1"/>
  <c r="J72" i="224" s="1"/>
  <c r="N57" i="224"/>
  <c r="N59" i="224" s="1"/>
  <c r="N72" i="224" s="1"/>
  <c r="K57" i="224"/>
  <c r="K59" i="224" s="1"/>
  <c r="K72" i="224" s="1"/>
  <c r="O57" i="224"/>
  <c r="O59" i="224" s="1"/>
  <c r="O72" i="224" s="1"/>
  <c r="I57" i="224"/>
  <c r="I59" i="224" s="1"/>
  <c r="I72" i="224" s="1"/>
  <c r="P57" i="224"/>
  <c r="P59" i="224" s="1"/>
  <c r="P72" i="224" s="1"/>
  <c r="L57" i="224"/>
  <c r="L59" i="224" s="1"/>
  <c r="L72" i="224" s="1"/>
  <c r="J40" i="224"/>
  <c r="J42" i="224" s="1"/>
  <c r="K40" i="224"/>
  <c r="K42" i="224" s="1"/>
  <c r="M40" i="224"/>
  <c r="M42" i="224" s="1"/>
  <c r="N40" i="224"/>
  <c r="N42" i="224" s="1"/>
  <c r="G40" i="224"/>
  <c r="G42" i="224" s="1"/>
  <c r="O40" i="224"/>
  <c r="O42" i="224" s="1"/>
  <c r="L40" i="224"/>
  <c r="L42" i="224" s="1"/>
  <c r="P40" i="224"/>
  <c r="P42" i="224" s="1"/>
  <c r="I35" i="224" l="1"/>
  <c r="I37" i="224" s="1"/>
  <c r="F162" i="272"/>
  <c r="F158" i="272"/>
  <c r="G162" i="272"/>
  <c r="G158" i="272"/>
  <c r="M158" i="272"/>
  <c r="M162" i="272"/>
  <c r="H158" i="272"/>
  <c r="H162" i="272"/>
  <c r="J158" i="272"/>
  <c r="J162" i="272"/>
  <c r="L162" i="272"/>
  <c r="L158" i="272"/>
  <c r="K158" i="272"/>
  <c r="K162" i="272"/>
  <c r="I162" i="272"/>
  <c r="I158" i="272"/>
  <c r="J35" i="224"/>
  <c r="J37" i="224" s="1"/>
  <c r="K35" i="224"/>
  <c r="K37" i="224" s="1"/>
  <c r="O35" i="224"/>
  <c r="O37" i="224" s="1"/>
  <c r="P35" i="224"/>
  <c r="P37" i="224" s="1"/>
  <c r="N35" i="224"/>
  <c r="N37" i="224" s="1"/>
  <c r="M35" i="224"/>
  <c r="M37" i="224" s="1"/>
  <c r="L35" i="224"/>
  <c r="L37" i="224" s="1"/>
  <c r="M156" i="224"/>
  <c r="M168" i="224"/>
  <c r="J168" i="224"/>
  <c r="J156" i="224"/>
  <c r="L168" i="224"/>
  <c r="L156" i="224"/>
  <c r="I156" i="224"/>
  <c r="P156" i="224"/>
  <c r="P168" i="224"/>
  <c r="G156" i="224"/>
  <c r="G168" i="224"/>
  <c r="K168" i="224"/>
  <c r="K156" i="224"/>
  <c r="N156" i="224"/>
  <c r="N168" i="224"/>
  <c r="H160" i="224"/>
  <c r="H164" i="224"/>
  <c r="P216" i="224"/>
  <c r="P228" i="224" s="1"/>
  <c r="I216" i="224"/>
  <c r="I228" i="224" s="1"/>
  <c r="K216" i="224"/>
  <c r="K228" i="224" s="1"/>
  <c r="J216" i="224"/>
  <c r="J228" i="224" s="1"/>
  <c r="M216" i="224"/>
  <c r="M228" i="224" s="1"/>
  <c r="L216" i="224"/>
  <c r="L228" i="224" s="1"/>
  <c r="O216" i="224"/>
  <c r="O228" i="224" s="1"/>
  <c r="G216" i="224"/>
  <c r="G228" i="224" s="1"/>
  <c r="N216" i="224"/>
  <c r="N228" i="224" s="1"/>
  <c r="G41" i="250"/>
  <c r="E76" i="250"/>
  <c r="G76" i="250" s="1"/>
  <c r="G82" i="250" s="1"/>
  <c r="I166" i="272" l="1"/>
  <c r="F166" i="272"/>
  <c r="H166" i="272"/>
  <c r="K166" i="272"/>
  <c r="M166" i="272"/>
  <c r="L166" i="272"/>
  <c r="G166" i="272"/>
  <c r="J166" i="272"/>
  <c r="H169" i="224"/>
  <c r="G180" i="224"/>
  <c r="G176" i="224"/>
  <c r="I160" i="224"/>
  <c r="I164" i="224"/>
  <c r="K160" i="224"/>
  <c r="K164" i="224"/>
  <c r="L160" i="224"/>
  <c r="L164" i="224"/>
  <c r="N164" i="224"/>
  <c r="N160" i="224"/>
  <c r="J160" i="224"/>
  <c r="J164" i="224"/>
  <c r="G164" i="224"/>
  <c r="G160" i="224"/>
  <c r="P160" i="224"/>
  <c r="P164" i="224"/>
  <c r="M164" i="224"/>
  <c r="M160" i="224"/>
  <c r="J27" i="275"/>
  <c r="J29" i="275" s="1"/>
  <c r="J30" i="275" s="1"/>
  <c r="K27" i="275"/>
  <c r="K29" i="275" s="1"/>
  <c r="K30" i="275" s="1"/>
  <c r="L27" i="275"/>
  <c r="L29" i="275" s="1"/>
  <c r="L30" i="275" s="1"/>
  <c r="I27" i="275"/>
  <c r="I29" i="275" s="1"/>
  <c r="I30" i="275" s="1"/>
  <c r="N27" i="275"/>
  <c r="N29" i="275" s="1"/>
  <c r="N30" i="275" s="1"/>
  <c r="M27" i="275"/>
  <c r="M29" i="275" s="1"/>
  <c r="M30" i="275" s="1"/>
  <c r="O27" i="275"/>
  <c r="O29" i="275" s="1"/>
  <c r="O30" i="275" s="1"/>
  <c r="H27" i="275"/>
  <c r="H29" i="275" s="1"/>
  <c r="H30" i="275" s="1"/>
  <c r="P27" i="275"/>
  <c r="P29" i="275" s="1"/>
  <c r="P30" i="275" s="1"/>
  <c r="G169" i="224" l="1"/>
  <c r="G184" i="224"/>
  <c r="J169" i="224"/>
  <c r="I169" i="224"/>
  <c r="P169" i="224"/>
  <c r="L169" i="224"/>
  <c r="M169" i="224"/>
  <c r="N169" i="224"/>
  <c r="K169" i="224"/>
  <c r="G50" i="220" l="1"/>
  <c r="H50" i="220"/>
  <c r="G66" i="220"/>
  <c r="O66" i="220"/>
  <c r="H66" i="220"/>
  <c r="F50" i="220"/>
  <c r="F66" i="220"/>
  <c r="G145" i="219" l="1"/>
  <c r="G148" i="219" l="1"/>
  <c r="G152" i="219" s="1"/>
  <c r="K145" i="219" l="1"/>
  <c r="L145" i="219"/>
  <c r="N145" i="219"/>
  <c r="M145" i="219"/>
  <c r="O145" i="219"/>
  <c r="P145" i="219"/>
  <c r="P152" i="219" s="1"/>
  <c r="H52" i="219" l="1"/>
  <c r="H54" i="219" s="1"/>
  <c r="H75" i="219" s="1"/>
  <c r="G52" i="219"/>
  <c r="G54" i="219" s="1"/>
  <c r="G75" i="219" s="1"/>
  <c r="I52" i="219"/>
  <c r="I54" i="219" s="1"/>
  <c r="I75" i="219" s="1"/>
  <c r="J52" i="219"/>
  <c r="J54" i="219" s="1"/>
  <c r="J75" i="219" s="1"/>
  <c r="K52" i="219"/>
  <c r="K54" i="219" s="1"/>
  <c r="K75" i="219" s="1"/>
  <c r="O52" i="219"/>
  <c r="O54" i="219" s="1"/>
  <c r="O75" i="219" s="1"/>
  <c r="M52" i="219"/>
  <c r="M54" i="219" s="1"/>
  <c r="M75" i="219" s="1"/>
  <c r="N52" i="219"/>
  <c r="N54" i="219" s="1"/>
  <c r="N75" i="219" s="1"/>
  <c r="L52" i="219"/>
  <c r="L54" i="219" s="1"/>
  <c r="L75" i="219" s="1"/>
  <c r="P52" i="219"/>
  <c r="P54" i="219" s="1"/>
  <c r="P75" i="219" s="1"/>
  <c r="P363" i="279" l="1"/>
  <c r="P365" i="279" s="1"/>
  <c r="P372" i="279" s="1"/>
  <c r="M363" i="279"/>
  <c r="M365" i="279" s="1"/>
  <c r="M372" i="279" s="1"/>
  <c r="L363" i="279"/>
  <c r="L365" i="279" s="1"/>
  <c r="L372" i="279" s="1"/>
  <c r="O363" i="279"/>
  <c r="O365" i="279" s="1"/>
  <c r="O372" i="279" s="1"/>
  <c r="K363" i="279"/>
  <c r="K365" i="279" s="1"/>
  <c r="K372" i="279" s="1"/>
  <c r="N363" i="279"/>
  <c r="N365" i="279" s="1"/>
  <c r="N372" i="279" s="1"/>
  <c r="L385" i="279"/>
  <c r="L387" i="279" s="1"/>
  <c r="L388" i="279" s="1"/>
  <c r="G363" i="279"/>
  <c r="G365" i="279" s="1"/>
  <c r="G372" i="279" s="1"/>
  <c r="K385" i="279"/>
  <c r="K387" i="279" s="1"/>
  <c r="K388" i="279" s="1"/>
  <c r="P385" i="279"/>
  <c r="P387" i="279" s="1"/>
  <c r="P388" i="279" s="1"/>
  <c r="M385" i="279"/>
  <c r="M387" i="279" s="1"/>
  <c r="M388" i="279" s="1"/>
  <c r="N385" i="279"/>
  <c r="N387" i="279" s="1"/>
  <c r="N388" i="279" s="1"/>
  <c r="G385" i="279"/>
  <c r="G387" i="279" s="1"/>
  <c r="G388" i="279" s="1"/>
  <c r="I385" i="279"/>
  <c r="I387" i="279" s="1"/>
  <c r="I388" i="279" s="1"/>
  <c r="O385" i="279"/>
  <c r="O387" i="279" s="1"/>
  <c r="O388" i="279" s="1"/>
  <c r="H385" i="279"/>
  <c r="H387" i="279" s="1"/>
  <c r="H388" i="279" s="1"/>
  <c r="K145" i="278"/>
  <c r="K147" i="278" s="1"/>
  <c r="K148" i="278" s="1"/>
  <c r="G123" i="278"/>
  <c r="G125" i="278" s="1"/>
  <c r="G132" i="278" s="1"/>
  <c r="N145" i="278"/>
  <c r="N147" i="278" s="1"/>
  <c r="N148" i="278" s="1"/>
  <c r="L145" i="278"/>
  <c r="L147" i="278" s="1"/>
  <c r="L148" i="278" s="1"/>
  <c r="P145" i="278"/>
  <c r="P147" i="278" s="1"/>
  <c r="P148" i="278" s="1"/>
  <c r="O145" i="278"/>
  <c r="O147" i="278" s="1"/>
  <c r="O148" i="278" s="1"/>
  <c r="G145" i="278"/>
  <c r="G147" i="278" s="1"/>
  <c r="G148" i="278" s="1"/>
  <c r="M145" i="278"/>
  <c r="M147" i="278" s="1"/>
  <c r="M148" i="278" s="1"/>
  <c r="I145" i="278"/>
  <c r="I147" i="278" s="1"/>
  <c r="I148" i="278" s="1"/>
  <c r="H145" i="278"/>
  <c r="H147" i="278" s="1"/>
  <c r="H148" i="278" s="1"/>
  <c r="B56" i="264" l="1"/>
  <c r="O125" i="224" l="1"/>
  <c r="O127" i="224" s="1"/>
  <c r="O132" i="224" s="1"/>
  <c r="G125" i="224"/>
  <c r="G127" i="224" s="1"/>
  <c r="G132" i="224" s="1"/>
  <c r="P125" i="224"/>
  <c r="P127" i="224" s="1"/>
  <c r="P132" i="224" s="1"/>
  <c r="L125" i="224"/>
  <c r="L127" i="224" s="1"/>
  <c r="L132" i="224" s="1"/>
  <c r="K125" i="224"/>
  <c r="K127" i="224" s="1"/>
  <c r="K132" i="224" s="1"/>
  <c r="J125" i="224"/>
  <c r="J127" i="224" s="1"/>
  <c r="J132" i="224" s="1"/>
  <c r="N125" i="224"/>
  <c r="N127" i="224" s="1"/>
  <c r="N132" i="224" s="1"/>
  <c r="M117" i="220"/>
  <c r="M119" i="220" s="1"/>
  <c r="M124" i="220" s="1"/>
  <c r="H117" i="220"/>
  <c r="H119" i="220" s="1"/>
  <c r="H124" i="220" s="1"/>
  <c r="N117" i="220"/>
  <c r="N119" i="220" s="1"/>
  <c r="N124" i="220" s="1"/>
  <c r="F117" i="220"/>
  <c r="F119" i="220" s="1"/>
  <c r="F124" i="220" s="1"/>
  <c r="K117" i="220"/>
  <c r="K119" i="220" s="1"/>
  <c r="K124" i="220" s="1"/>
  <c r="O117" i="220"/>
  <c r="O119" i="220" s="1"/>
  <c r="O124" i="220" s="1"/>
  <c r="J117" i="220"/>
  <c r="J119" i="220" s="1"/>
  <c r="J124" i="220" s="1"/>
  <c r="G117" i="220"/>
  <c r="G119" i="220" s="1"/>
  <c r="G124" i="220" s="1"/>
  <c r="I117" i="220"/>
  <c r="I119" i="220" s="1"/>
  <c r="I124" i="220" s="1"/>
  <c r="H412" i="279"/>
  <c r="H414" i="279" s="1"/>
  <c r="O172" i="278"/>
  <c r="O174" i="278" s="1"/>
  <c r="J203" i="219"/>
  <c r="J205" i="219" s="1"/>
  <c r="N412" i="279"/>
  <c r="N414" i="279" s="1"/>
  <c r="G412" i="279"/>
  <c r="G414" i="279" s="1"/>
  <c r="G172" i="278"/>
  <c r="G174" i="278" s="1"/>
  <c r="O412" i="279"/>
  <c r="O414" i="279" s="1"/>
  <c r="O203" i="219"/>
  <c r="O205" i="219" s="1"/>
  <c r="M203" i="219"/>
  <c r="M205" i="219" s="1"/>
  <c r="L412" i="279"/>
  <c r="L414" i="279" s="1"/>
  <c r="N172" i="278"/>
  <c r="N174" i="278" s="1"/>
  <c r="L172" i="278"/>
  <c r="L174" i="278" s="1"/>
  <c r="L203" i="219"/>
  <c r="L205" i="219" s="1"/>
  <c r="P203" i="219"/>
  <c r="P205" i="219" s="1"/>
  <c r="K412" i="279"/>
  <c r="K414" i="279" s="1"/>
  <c r="K172" i="278"/>
  <c r="K174" i="278" s="1"/>
  <c r="I172" i="278"/>
  <c r="I174" i="278" s="1"/>
  <c r="J412" i="279"/>
  <c r="J414" i="279" s="1"/>
  <c r="J172" i="278"/>
  <c r="J174" i="278" s="1"/>
  <c r="G203" i="219"/>
  <c r="G205" i="219" s="1"/>
  <c r="I412" i="279"/>
  <c r="I414" i="279" s="1"/>
  <c r="P172" i="278"/>
  <c r="P174" i="278" s="1"/>
  <c r="H203" i="219"/>
  <c r="H205" i="219" s="1"/>
  <c r="K203" i="219"/>
  <c r="K205" i="219" s="1"/>
  <c r="P412" i="279"/>
  <c r="P414" i="279" s="1"/>
  <c r="H172" i="278"/>
  <c r="H174" i="278" s="1"/>
  <c r="I203" i="219"/>
  <c r="I205" i="219" s="1"/>
  <c r="I191" i="220" l="1"/>
  <c r="I196" i="220" s="1"/>
  <c r="J186" i="273"/>
  <c r="J191" i="273" s="1"/>
  <c r="J212" i="273" s="1"/>
  <c r="H191" i="220"/>
  <c r="H196" i="220" s="1"/>
  <c r="H217" i="220" s="1"/>
  <c r="J223" i="278"/>
  <c r="J228" i="278" s="1"/>
  <c r="J249" i="278" s="1"/>
  <c r="J184" i="275"/>
  <c r="J189" i="275" s="1"/>
  <c r="I223" i="278"/>
  <c r="I228" i="278" s="1"/>
  <c r="I249" i="278" s="1"/>
  <c r="I184" i="275"/>
  <c r="I189" i="275" s="1"/>
  <c r="J384" i="224"/>
  <c r="J389" i="224" s="1"/>
  <c r="J410" i="224" s="1"/>
  <c r="J254" i="219"/>
  <c r="J259" i="219" s="1"/>
  <c r="J280" i="219" s="1"/>
  <c r="K186" i="273"/>
  <c r="K191" i="273" s="1"/>
  <c r="K212" i="273" s="1"/>
  <c r="I254" i="219"/>
  <c r="I259" i="219" s="1"/>
  <c r="I280" i="219" s="1"/>
  <c r="I462" i="279"/>
  <c r="I467" i="279" s="1"/>
  <c r="I488" i="279" s="1"/>
  <c r="I384" i="224"/>
  <c r="I389" i="224" s="1"/>
  <c r="I410" i="224" s="1"/>
  <c r="J462" i="279"/>
  <c r="J467" i="279" s="1"/>
  <c r="J488" i="279" s="1"/>
  <c r="L183" i="272"/>
  <c r="L188" i="272" s="1"/>
  <c r="L209" i="272" s="1"/>
  <c r="M183" i="272"/>
  <c r="M188" i="272" s="1"/>
  <c r="M209" i="272" s="1"/>
  <c r="K183" i="272"/>
  <c r="K188" i="272" s="1"/>
  <c r="K209" i="272" s="1"/>
  <c r="J183" i="272"/>
  <c r="J188" i="272" s="1"/>
  <c r="J209" i="272" s="1"/>
  <c r="I183" i="272"/>
  <c r="I188" i="272" s="1"/>
  <c r="I209" i="272" s="1"/>
  <c r="H183" i="272"/>
  <c r="H188" i="272" s="1"/>
  <c r="H209" i="272" s="1"/>
  <c r="F188" i="272"/>
  <c r="F209" i="272" s="1"/>
  <c r="G183" i="272"/>
  <c r="G188" i="272" s="1"/>
  <c r="G209" i="272" s="1"/>
  <c r="O209" i="219"/>
  <c r="O210" i="219" s="1"/>
  <c r="G217" i="220"/>
  <c r="G209" i="219"/>
  <c r="G210" i="219" s="1"/>
  <c r="L217" i="220"/>
  <c r="J209" i="219"/>
  <c r="J210" i="219" s="1"/>
  <c r="O217" i="220"/>
  <c r="K217" i="220"/>
  <c r="J217" i="220"/>
  <c r="P209" i="219"/>
  <c r="P210" i="219" s="1"/>
  <c r="F217" i="220"/>
  <c r="N217" i="220"/>
  <c r="K209" i="219"/>
  <c r="K210" i="219" s="1"/>
  <c r="I217" i="220"/>
  <c r="H209" i="219"/>
  <c r="H210" i="219" s="1"/>
  <c r="M217" i="220"/>
  <c r="M209" i="219"/>
  <c r="M210" i="219" s="1"/>
  <c r="I209" i="219"/>
  <c r="I210" i="219" s="1"/>
  <c r="P418" i="279"/>
  <c r="P419" i="279" s="1"/>
  <c r="O418" i="279" l="1"/>
  <c r="O419" i="279" s="1"/>
  <c r="I418" i="279"/>
  <c r="I419" i="279" s="1"/>
  <c r="M418" i="279"/>
  <c r="J418" i="279"/>
  <c r="J419" i="279" s="1"/>
  <c r="L418" i="279"/>
  <c r="L419" i="279" s="1"/>
  <c r="H418" i="279"/>
  <c r="H419" i="279" s="1"/>
  <c r="K418" i="279"/>
  <c r="K419" i="279" s="1"/>
  <c r="N418" i="279"/>
  <c r="N419" i="279" s="1"/>
  <c r="G418" i="279"/>
  <c r="G419" i="279" s="1"/>
  <c r="J13" i="278" l="1"/>
  <c r="K13" i="278"/>
  <c r="L13" i="278"/>
  <c r="L209" i="219"/>
  <c r="L210" i="219" s="1"/>
  <c r="N209" i="219"/>
  <c r="I13" i="219" l="1"/>
  <c r="I15" i="219" s="1"/>
  <c r="I30" i="219" s="1"/>
  <c r="I5" i="219" s="1"/>
  <c r="J13" i="279"/>
  <c r="J15" i="279" s="1"/>
  <c r="J16" i="279" s="1"/>
  <c r="H13" i="279"/>
  <c r="H15" i="279" s="1"/>
  <c r="H16" i="279" s="1"/>
  <c r="I13" i="279"/>
  <c r="I15" i="279" s="1"/>
  <c r="I16" i="279" s="1"/>
  <c r="J13" i="219"/>
  <c r="J15" i="219" s="1"/>
  <c r="P13" i="278"/>
  <c r="P15" i="278" s="1"/>
  <c r="P16" i="278" s="1"/>
  <c r="H13" i="219"/>
  <c r="H15" i="219" s="1"/>
  <c r="H13" i="278"/>
  <c r="H15" i="278" s="1"/>
  <c r="H16" i="278" s="1"/>
  <c r="I13" i="278"/>
  <c r="I15" i="278" s="1"/>
  <c r="I16" i="278" s="1"/>
  <c r="J113" i="224"/>
  <c r="I21" i="275"/>
  <c r="I23" i="275" s="1"/>
  <c r="I24" i="275" s="1"/>
  <c r="J15" i="278"/>
  <c r="J16" i="278" s="1"/>
  <c r="K13" i="279"/>
  <c r="K15" i="279" s="1"/>
  <c r="K16" i="279" s="1"/>
  <c r="G13" i="279"/>
  <c r="G15" i="279" s="1"/>
  <c r="G16" i="279" s="1"/>
  <c r="P13" i="279"/>
  <c r="P15" i="279" s="1"/>
  <c r="P16" i="279" s="1"/>
  <c r="O13" i="279"/>
  <c r="O15" i="279" s="1"/>
  <c r="O16" i="279" s="1"/>
  <c r="M13" i="279"/>
  <c r="M15" i="279" s="1"/>
  <c r="M16" i="279" s="1"/>
  <c r="L13" i="279"/>
  <c r="L15" i="279" s="1"/>
  <c r="L16" i="279" s="1"/>
  <c r="N13" i="279"/>
  <c r="N15" i="279" s="1"/>
  <c r="N16" i="279" s="1"/>
  <c r="L15" i="278"/>
  <c r="L16" i="278" s="1"/>
  <c r="K15" i="278"/>
  <c r="K16" i="278" s="1"/>
  <c r="L13" i="219"/>
  <c r="L15" i="219" s="1"/>
  <c r="L30" i="219" s="1"/>
  <c r="L5" i="219" s="1"/>
  <c r="M13" i="219"/>
  <c r="M15" i="219" s="1"/>
  <c r="M30" i="219" s="1"/>
  <c r="N13" i="219"/>
  <c r="N15" i="219" s="1"/>
  <c r="N30" i="219" s="1"/>
  <c r="P13" i="219"/>
  <c r="P15" i="219" s="1"/>
  <c r="P30" i="219" s="1"/>
  <c r="O13" i="219"/>
  <c r="O15" i="219" s="1"/>
  <c r="O30" i="219" s="1"/>
  <c r="I299" i="224"/>
  <c r="H299" i="224"/>
  <c r="H330" i="224"/>
  <c r="I330" i="224"/>
  <c r="G13" i="219" l="1"/>
  <c r="G15" i="219" s="1"/>
  <c r="G30" i="219" s="1"/>
  <c r="G6" i="219" s="1"/>
  <c r="J5" i="278"/>
  <c r="I5" i="278"/>
  <c r="K5" i="278"/>
  <c r="H5" i="278"/>
  <c r="L5" i="278"/>
  <c r="H30" i="219"/>
  <c r="H5" i="219" s="1"/>
  <c r="J30" i="219"/>
  <c r="J5" i="219" s="1"/>
  <c r="K187" i="224"/>
  <c r="K189" i="224" s="1"/>
  <c r="K190" i="224" s="1"/>
  <c r="M187" i="224"/>
  <c r="M189" i="224" s="1"/>
  <c r="M190" i="224" s="1"/>
  <c r="M215" i="279"/>
  <c r="M217" i="279" s="1"/>
  <c r="M218" i="279" s="1"/>
  <c r="K215" i="279"/>
  <c r="K217" i="279" s="1"/>
  <c r="K218" i="279" s="1"/>
  <c r="J187" i="224"/>
  <c r="J189" i="224" s="1"/>
  <c r="J190" i="224" s="1"/>
  <c r="I187" i="224"/>
  <c r="I189" i="224" s="1"/>
  <c r="I190" i="224" s="1"/>
  <c r="J215" i="279"/>
  <c r="J217" i="279" s="1"/>
  <c r="J218" i="279" s="1"/>
  <c r="P215" i="279"/>
  <c r="P217" i="279" s="1"/>
  <c r="P218" i="279" s="1"/>
  <c r="O215" i="279"/>
  <c r="O217" i="279" s="1"/>
  <c r="O218" i="279" s="1"/>
  <c r="I215" i="279"/>
  <c r="I217" i="279" s="1"/>
  <c r="I218" i="279" s="1"/>
  <c r="N187" i="224"/>
  <c r="N189" i="224" s="1"/>
  <c r="N190" i="224" s="1"/>
  <c r="H187" i="224"/>
  <c r="H189" i="224" s="1"/>
  <c r="H190" i="224" s="1"/>
  <c r="L187" i="224"/>
  <c r="L189" i="224" s="1"/>
  <c r="L190" i="224" s="1"/>
  <c r="H215" i="279"/>
  <c r="H217" i="279" s="1"/>
  <c r="H218" i="279" s="1"/>
  <c r="L215" i="279"/>
  <c r="L217" i="279" s="1"/>
  <c r="L218" i="279" s="1"/>
  <c r="N215" i="279"/>
  <c r="N217" i="279" s="1"/>
  <c r="N218" i="279" s="1"/>
  <c r="P187" i="224"/>
  <c r="P189" i="224" s="1"/>
  <c r="P190" i="224" s="1"/>
  <c r="O187" i="224"/>
  <c r="O189" i="224" s="1"/>
  <c r="O190" i="224" s="1"/>
  <c r="E66" i="250"/>
  <c r="G66" i="250" s="1"/>
  <c r="E65" i="250"/>
  <c r="G65" i="250" s="1"/>
  <c r="E64" i="250"/>
  <c r="G64" i="250" s="1"/>
  <c r="E59" i="250"/>
  <c r="G59" i="250" s="1"/>
  <c r="J173" i="272"/>
  <c r="J175" i="272" s="1"/>
  <c r="K173" i="272"/>
  <c r="K175" i="272" s="1"/>
  <c r="L173" i="272"/>
  <c r="L175" i="272" s="1"/>
  <c r="M173" i="272"/>
  <c r="M175" i="272" s="1"/>
  <c r="I173" i="272"/>
  <c r="I175" i="272" s="1"/>
  <c r="H173" i="272"/>
  <c r="H175" i="272" s="1"/>
  <c r="G173" i="272"/>
  <c r="G175" i="272" s="1"/>
  <c r="K13" i="219"/>
  <c r="K15" i="219" s="1"/>
  <c r="G13" i="278"/>
  <c r="G15" i="278" s="1"/>
  <c r="G16" i="278" s="1"/>
  <c r="O13" i="278"/>
  <c r="O15" i="278" s="1"/>
  <c r="O16" i="278" s="1"/>
  <c r="M13" i="278"/>
  <c r="M15" i="278" s="1"/>
  <c r="M16" i="278" s="1"/>
  <c r="M5" i="278" s="1"/>
  <c r="N13" i="278"/>
  <c r="N15" i="278" s="1"/>
  <c r="N16" i="278" s="1"/>
  <c r="G5" i="219"/>
  <c r="M113" i="224"/>
  <c r="H85" i="279"/>
  <c r="H87" i="279" s="1"/>
  <c r="O113" i="224"/>
  <c r="J85" i="279"/>
  <c r="J87" i="279" s="1"/>
  <c r="I113" i="224"/>
  <c r="M85" i="279"/>
  <c r="M87" i="279" s="1"/>
  <c r="O85" i="279"/>
  <c r="O87" i="279" s="1"/>
  <c r="K113" i="224"/>
  <c r="L85" i="279"/>
  <c r="L87" i="279" s="1"/>
  <c r="N85" i="279"/>
  <c r="N87" i="279" s="1"/>
  <c r="G113" i="224"/>
  <c r="K85" i="279"/>
  <c r="K87" i="279" s="1"/>
  <c r="N113" i="224"/>
  <c r="G85" i="279"/>
  <c r="G87" i="279" s="1"/>
  <c r="H113" i="224"/>
  <c r="I85" i="279"/>
  <c r="I87" i="279" s="1"/>
  <c r="L113" i="224"/>
  <c r="P113" i="224"/>
  <c r="P85" i="279"/>
  <c r="P87" i="279" s="1"/>
  <c r="H15" i="275"/>
  <c r="E61" i="250"/>
  <c r="G61" i="250" s="1"/>
  <c r="E60" i="250"/>
  <c r="G60" i="250" s="1"/>
  <c r="E58" i="250"/>
  <c r="G58" i="250" s="1"/>
  <c r="E56" i="250"/>
  <c r="G56" i="250" s="1"/>
  <c r="E57" i="250"/>
  <c r="G57" i="250" s="1"/>
  <c r="E62" i="250"/>
  <c r="G62" i="250" s="1"/>
  <c r="E63" i="250"/>
  <c r="G63" i="250" s="1"/>
  <c r="G175" i="220"/>
  <c r="K249" i="219"/>
  <c r="L249" i="219"/>
  <c r="N249" i="219"/>
  <c r="M249" i="219"/>
  <c r="F175" i="220"/>
  <c r="F6" i="220" s="1"/>
  <c r="F5" i="220" s="1"/>
  <c r="P249" i="219"/>
  <c r="O249" i="219"/>
  <c r="M125" i="224" l="1"/>
  <c r="M127" i="224" s="1"/>
  <c r="M132" i="224" s="1"/>
  <c r="N203" i="219"/>
  <c r="N205" i="219" s="1"/>
  <c r="N210" i="219" s="1"/>
  <c r="M412" i="279"/>
  <c r="M414" i="279" s="1"/>
  <c r="M419" i="279" s="1"/>
  <c r="L117" i="220"/>
  <c r="L119" i="220" s="1"/>
  <c r="L124" i="220" s="1"/>
  <c r="M172" i="278"/>
  <c r="M174" i="278" s="1"/>
  <c r="G5" i="278"/>
  <c r="K15" i="275"/>
  <c r="P15" i="275"/>
  <c r="P17" i="275" s="1"/>
  <c r="P18" i="275" s="1"/>
  <c r="O15" i="275"/>
  <c r="O17" i="275" s="1"/>
  <c r="O18" i="275" s="1"/>
  <c r="I15" i="275"/>
  <c r="I17" i="275" s="1"/>
  <c r="I18" i="275" s="1"/>
  <c r="N15" i="275"/>
  <c r="J15" i="275"/>
  <c r="J17" i="275" s="1"/>
  <c r="J18" i="275" s="1"/>
  <c r="M15" i="275"/>
  <c r="M17" i="275" s="1"/>
  <c r="M18" i="275" s="1"/>
  <c r="L15" i="275"/>
  <c r="L17" i="275" s="1"/>
  <c r="L18" i="275" s="1"/>
  <c r="K30" i="219"/>
  <c r="K5" i="219" s="1"/>
  <c r="J73" i="275"/>
  <c r="J75" i="275" s="1"/>
  <c r="J76" i="275" s="1"/>
  <c r="K73" i="275"/>
  <c r="K75" i="275" s="1"/>
  <c r="K76" i="275" s="1"/>
  <c r="L73" i="275"/>
  <c r="L75" i="275" s="1"/>
  <c r="L76" i="275" s="1"/>
  <c r="N73" i="275"/>
  <c r="N75" i="275" s="1"/>
  <c r="N76" i="275" s="1"/>
  <c r="M73" i="275"/>
  <c r="M75" i="275" s="1"/>
  <c r="M76" i="275" s="1"/>
  <c r="I73" i="275"/>
  <c r="I75" i="275" s="1"/>
  <c r="I76" i="275" s="1"/>
  <c r="E55" i="250"/>
  <c r="G55" i="250" s="1"/>
  <c r="G73" i="250" s="1"/>
  <c r="I54" i="228"/>
  <c r="I56" i="228" s="1"/>
  <c r="I57" i="228" s="1"/>
  <c r="O54" i="228"/>
  <c r="O56" i="228" s="1"/>
  <c r="O57" i="228" s="1"/>
  <c r="Q54" i="228"/>
  <c r="Q56" i="228" s="1"/>
  <c r="Q57" i="228" s="1"/>
  <c r="L54" i="228"/>
  <c r="L56" i="228" s="1"/>
  <c r="L57" i="228" s="1"/>
  <c r="M54" i="228"/>
  <c r="M56" i="228" s="1"/>
  <c r="M57" i="228" s="1"/>
  <c r="N54" i="228"/>
  <c r="N56" i="228" s="1"/>
  <c r="N57" i="228" s="1"/>
  <c r="H54" i="228"/>
  <c r="H56" i="228" s="1"/>
  <c r="H57" i="228" s="1"/>
  <c r="G54" i="228"/>
  <c r="G56" i="228" s="1"/>
  <c r="G57" i="228" s="1"/>
  <c r="J54" i="228"/>
  <c r="J56" i="228" s="1"/>
  <c r="J57" i="228" s="1"/>
  <c r="G187" i="224"/>
  <c r="G189" i="224" s="1"/>
  <c r="G190" i="224" s="1"/>
  <c r="F54" i="228"/>
  <c r="F56" i="228" s="1"/>
  <c r="F57" i="228" s="1"/>
  <c r="G215" i="279"/>
  <c r="G217" i="279" s="1"/>
  <c r="G218" i="279" s="1"/>
  <c r="P54" i="228"/>
  <c r="P56" i="228" s="1"/>
  <c r="P57" i="228" s="1"/>
  <c r="K54" i="228"/>
  <c r="K56" i="228" s="1"/>
  <c r="K57" i="228" s="1"/>
  <c r="M176" i="272"/>
  <c r="M5" i="272" s="1"/>
  <c r="L176" i="272"/>
  <c r="L5" i="272" s="1"/>
  <c r="K176" i="272"/>
  <c r="K5" i="272" s="1"/>
  <c r="J176" i="272"/>
  <c r="J5" i="272" s="1"/>
  <c r="G176" i="272"/>
  <c r="G5" i="272" s="1"/>
  <c r="H176" i="272"/>
  <c r="H5" i="272" s="1"/>
  <c r="I176" i="272"/>
  <c r="I5" i="272" s="1"/>
  <c r="F173" i="272"/>
  <c r="F175" i="272" s="1"/>
  <c r="I125" i="224"/>
  <c r="I127" i="224" s="1"/>
  <c r="I132" i="224" s="1"/>
  <c r="H125" i="224"/>
  <c r="H127" i="224" s="1"/>
  <c r="H132" i="224" s="1"/>
  <c r="H40" i="224"/>
  <c r="H42" i="224" s="1"/>
  <c r="I40" i="224"/>
  <c r="I42" i="224" s="1"/>
  <c r="H73" i="275"/>
  <c r="H75" i="275" s="1"/>
  <c r="H76" i="275" s="1"/>
  <c r="G73" i="275"/>
  <c r="G75" i="275" s="1"/>
  <c r="G76" i="275" s="1"/>
  <c r="K17" i="275"/>
  <c r="K18" i="275" s="1"/>
  <c r="N17" i="275"/>
  <c r="N18" i="275" s="1"/>
  <c r="G17" i="275"/>
  <c r="G18" i="275" s="1"/>
  <c r="G27" i="275"/>
  <c r="G29" i="275" s="1"/>
  <c r="G30" i="275" s="1"/>
  <c r="H33" i="273"/>
  <c r="H35" i="273" s="1"/>
  <c r="H23" i="275"/>
  <c r="H24" i="275" s="1"/>
  <c r="H220" i="220"/>
  <c r="H222" i="220" s="1"/>
  <c r="H223" i="220" s="1"/>
  <c r="H6" i="220" s="1"/>
  <c r="I146" i="224"/>
  <c r="I148" i="224" s="1"/>
  <c r="I149" i="224" s="1"/>
  <c r="Q60" i="228"/>
  <c r="Q62" i="228" s="1"/>
  <c r="Q63" i="228" s="1"/>
  <c r="O146" i="224"/>
  <c r="O148" i="224" s="1"/>
  <c r="O149" i="224" s="1"/>
  <c r="P295" i="219"/>
  <c r="P297" i="219" s="1"/>
  <c r="P298" i="219" s="1"/>
  <c r="P6" i="219" s="1"/>
  <c r="O220" i="220"/>
  <c r="O222" i="220" s="1"/>
  <c r="O223" i="220" s="1"/>
  <c r="O6" i="220" s="1"/>
  <c r="O215" i="273"/>
  <c r="O217" i="273" s="1"/>
  <c r="O218" i="273" s="1"/>
  <c r="N221" i="279"/>
  <c r="N223" i="279" s="1"/>
  <c r="N224" i="279" s="1"/>
  <c r="I264" i="278"/>
  <c r="I266" i="278" s="1"/>
  <c r="I267" i="278" s="1"/>
  <c r="P221" i="279"/>
  <c r="P223" i="279" s="1"/>
  <c r="P224" i="279" s="1"/>
  <c r="O221" i="279"/>
  <c r="O223" i="279" s="1"/>
  <c r="O224" i="279" s="1"/>
  <c r="M295" i="219"/>
  <c r="M297" i="219" s="1"/>
  <c r="M298" i="219" s="1"/>
  <c r="I220" i="220"/>
  <c r="I222" i="220" s="1"/>
  <c r="I223" i="220" s="1"/>
  <c r="I6" i="220" s="1"/>
  <c r="J60" i="228"/>
  <c r="J62" i="228" s="1"/>
  <c r="J63" i="228" s="1"/>
  <c r="L220" i="220"/>
  <c r="L222" i="220" s="1"/>
  <c r="L223" i="220" s="1"/>
  <c r="L6" i="220" s="1"/>
  <c r="M221" i="279"/>
  <c r="M223" i="279" s="1"/>
  <c r="M224" i="279" s="1"/>
  <c r="L221" i="279"/>
  <c r="L223" i="279" s="1"/>
  <c r="L224" i="279" s="1"/>
  <c r="N146" i="224"/>
  <c r="N148" i="224" s="1"/>
  <c r="N149" i="224" s="1"/>
  <c r="N220" i="220"/>
  <c r="N222" i="220" s="1"/>
  <c r="N223" i="220" s="1"/>
  <c r="N6" i="220" s="1"/>
  <c r="K215" i="273"/>
  <c r="K217" i="273" s="1"/>
  <c r="K218" i="273" s="1"/>
  <c r="P264" i="278"/>
  <c r="P266" i="278" s="1"/>
  <c r="P267" i="278" s="1"/>
  <c r="L60" i="228"/>
  <c r="L62" i="228" s="1"/>
  <c r="L63" i="228" s="1"/>
  <c r="M146" i="224"/>
  <c r="M148" i="224" s="1"/>
  <c r="M149" i="224" s="1"/>
  <c r="N264" i="278"/>
  <c r="N266" i="278" s="1"/>
  <c r="N267" i="278" s="1"/>
  <c r="J146" i="224"/>
  <c r="J148" i="224" s="1"/>
  <c r="J149" i="224" s="1"/>
  <c r="K295" i="219"/>
  <c r="K297" i="219" s="1"/>
  <c r="K298" i="219" s="1"/>
  <c r="K221" i="279"/>
  <c r="K223" i="279" s="1"/>
  <c r="K224" i="279" s="1"/>
  <c r="I221" i="279"/>
  <c r="I223" i="279" s="1"/>
  <c r="I224" i="279" s="1"/>
  <c r="O295" i="219"/>
  <c r="O297" i="219" s="1"/>
  <c r="O298" i="219" s="1"/>
  <c r="N295" i="219"/>
  <c r="N297" i="219" s="1"/>
  <c r="N298" i="219" s="1"/>
  <c r="P146" i="224"/>
  <c r="P148" i="224" s="1"/>
  <c r="P149" i="224" s="1"/>
  <c r="M220" i="220"/>
  <c r="M222" i="220" s="1"/>
  <c r="M223" i="220" s="1"/>
  <c r="M6" i="220" s="1"/>
  <c r="N60" i="228"/>
  <c r="N62" i="228" s="1"/>
  <c r="N63" i="228" s="1"/>
  <c r="P215" i="273"/>
  <c r="P217" i="273" s="1"/>
  <c r="P218" i="273" s="1"/>
  <c r="M215" i="273"/>
  <c r="M217" i="273" s="1"/>
  <c r="M218" i="273" s="1"/>
  <c r="K60" i="228"/>
  <c r="K62" i="228" s="1"/>
  <c r="K63" i="228" s="1"/>
  <c r="M60" i="228"/>
  <c r="M62" i="228" s="1"/>
  <c r="M63" i="228" s="1"/>
  <c r="Q215" i="273"/>
  <c r="Q217" i="273" s="1"/>
  <c r="Q218" i="273" s="1"/>
  <c r="J295" i="219"/>
  <c r="J297" i="219" s="1"/>
  <c r="J298" i="219" s="1"/>
  <c r="M264" i="278"/>
  <c r="M266" i="278" s="1"/>
  <c r="M267" i="278" s="1"/>
  <c r="N215" i="273"/>
  <c r="N217" i="273" s="1"/>
  <c r="N218" i="273" s="1"/>
  <c r="L215" i="273"/>
  <c r="L217" i="273" s="1"/>
  <c r="L218" i="273" s="1"/>
  <c r="P60" i="228"/>
  <c r="P62" i="228" s="1"/>
  <c r="P63" i="228" s="1"/>
  <c r="K146" i="224"/>
  <c r="K148" i="224" s="1"/>
  <c r="K149" i="224" s="1"/>
  <c r="K264" i="278"/>
  <c r="K266" i="278" s="1"/>
  <c r="K267" i="278" s="1"/>
  <c r="J221" i="279"/>
  <c r="J223" i="279" s="1"/>
  <c r="J224" i="279" s="1"/>
  <c r="J220" i="220"/>
  <c r="J222" i="220" s="1"/>
  <c r="J223" i="220" s="1"/>
  <c r="J6" i="220" s="1"/>
  <c r="O264" i="278"/>
  <c r="O266" i="278" s="1"/>
  <c r="O267" i="278" s="1"/>
  <c r="K220" i="220"/>
  <c r="K222" i="220" s="1"/>
  <c r="K223" i="220" s="1"/>
  <c r="K6" i="220" s="1"/>
  <c r="L295" i="219"/>
  <c r="L297" i="219" s="1"/>
  <c r="L298" i="219" s="1"/>
  <c r="O60" i="228"/>
  <c r="O62" i="228" s="1"/>
  <c r="O63" i="228" s="1"/>
  <c r="J264" i="278"/>
  <c r="J266" i="278" s="1"/>
  <c r="J267" i="278" s="1"/>
  <c r="I295" i="219"/>
  <c r="I297" i="219" s="1"/>
  <c r="I298" i="219" s="1"/>
  <c r="L146" i="224"/>
  <c r="L148" i="224" s="1"/>
  <c r="L149" i="224" s="1"/>
  <c r="J215" i="273"/>
  <c r="J217" i="273" s="1"/>
  <c r="J218" i="273" s="1"/>
  <c r="L264" i="278"/>
  <c r="L266" i="278" s="1"/>
  <c r="L267" i="278" s="1"/>
  <c r="L45" i="224"/>
  <c r="L47" i="224" s="1"/>
  <c r="L53" i="224" s="1"/>
  <c r="I45" i="224"/>
  <c r="I47" i="224" s="1"/>
  <c r="K45" i="224"/>
  <c r="K47" i="224" s="1"/>
  <c r="K53" i="224" s="1"/>
  <c r="G45" i="224"/>
  <c r="G47" i="224" s="1"/>
  <c r="H45" i="224"/>
  <c r="H47" i="224" s="1"/>
  <c r="M45" i="224"/>
  <c r="M47" i="224" s="1"/>
  <c r="M53" i="224" s="1"/>
  <c r="P45" i="224"/>
  <c r="P47" i="224" s="1"/>
  <c r="P53" i="224" s="1"/>
  <c r="N45" i="224"/>
  <c r="N47" i="224" s="1"/>
  <c r="N53" i="224" s="1"/>
  <c r="O45" i="224"/>
  <c r="O47" i="224" s="1"/>
  <c r="O53" i="224" s="1"/>
  <c r="J45" i="224"/>
  <c r="J47" i="224" s="1"/>
  <c r="J53" i="224" s="1"/>
  <c r="E50" i="250"/>
  <c r="G50" i="250" s="1"/>
  <c r="E46" i="250"/>
  <c r="G46" i="250" s="1"/>
  <c r="E48" i="250"/>
  <c r="G48" i="250" s="1"/>
  <c r="E47" i="250"/>
  <c r="G47" i="250" s="1"/>
  <c r="E49" i="250"/>
  <c r="G49" i="250" s="1"/>
  <c r="H60" i="228"/>
  <c r="H62" i="228" s="1"/>
  <c r="H63" i="228" s="1"/>
  <c r="G60" i="228"/>
  <c r="G62" i="228" s="1"/>
  <c r="G63" i="228" s="1"/>
  <c r="I60" i="228"/>
  <c r="I62" i="228" s="1"/>
  <c r="I63" i="228" s="1"/>
  <c r="F60" i="228"/>
  <c r="F62" i="228" s="1"/>
  <c r="F63" i="228" s="1"/>
  <c r="O33" i="273"/>
  <c r="O35" i="273" s="1"/>
  <c r="O40" i="273" s="1"/>
  <c r="J33" i="273"/>
  <c r="J35" i="273" s="1"/>
  <c r="J40" i="273" s="1"/>
  <c r="Q33" i="273"/>
  <c r="Q35" i="273" s="1"/>
  <c r="Q40" i="273" s="1"/>
  <c r="L33" i="273"/>
  <c r="L35" i="273" s="1"/>
  <c r="L40" i="273" s="1"/>
  <c r="M33" i="273"/>
  <c r="M35" i="273" s="1"/>
  <c r="M40" i="273" s="1"/>
  <c r="P33" i="273"/>
  <c r="P35" i="273" s="1"/>
  <c r="P40" i="273" s="1"/>
  <c r="N33" i="273"/>
  <c r="N35" i="273" s="1"/>
  <c r="N40" i="273" s="1"/>
  <c r="K33" i="273"/>
  <c r="K35" i="273" s="1"/>
  <c r="K40" i="273" s="1"/>
  <c r="M152" i="219"/>
  <c r="N152" i="219"/>
  <c r="O152" i="219"/>
  <c r="L152" i="219"/>
  <c r="K152" i="219"/>
  <c r="H35" i="224" l="1"/>
  <c r="H37" i="224" s="1"/>
  <c r="J6" i="219"/>
  <c r="I6" i="219"/>
  <c r="L6" i="219"/>
  <c r="N6" i="219"/>
  <c r="K6" i="219"/>
  <c r="O6" i="219"/>
  <c r="M6" i="219"/>
  <c r="F176" i="272"/>
  <c r="F5" i="272" s="1"/>
  <c r="C5" i="272" s="1"/>
  <c r="E33" i="251" s="1"/>
  <c r="C11" i="258" s="1"/>
  <c r="E11" i="258" s="1"/>
  <c r="I33" i="273"/>
  <c r="I35" i="273" s="1"/>
  <c r="I40" i="273" s="1"/>
  <c r="Q28" i="273"/>
  <c r="Q30" i="273" s="1"/>
  <c r="Q45" i="273" s="1"/>
  <c r="Q6" i="273" s="1"/>
  <c r="O28" i="273"/>
  <c r="O30" i="273" s="1"/>
  <c r="O45" i="273" s="1"/>
  <c r="O6" i="273" s="1"/>
  <c r="I28" i="273"/>
  <c r="I30" i="273" s="1"/>
  <c r="M28" i="273"/>
  <c r="M30" i="273" s="1"/>
  <c r="M45" i="273" s="1"/>
  <c r="M6" i="273" s="1"/>
  <c r="N28" i="273"/>
  <c r="N30" i="273" s="1"/>
  <c r="N45" i="273" s="1"/>
  <c r="N6" i="273" s="1"/>
  <c r="J28" i="273"/>
  <c r="J30" i="273" s="1"/>
  <c r="J45" i="273" s="1"/>
  <c r="J6" i="273" s="1"/>
  <c r="K28" i="273"/>
  <c r="K30" i="273" s="1"/>
  <c r="K45" i="273" s="1"/>
  <c r="K6" i="273" s="1"/>
  <c r="H28" i="273"/>
  <c r="H30" i="273" s="1"/>
  <c r="H45" i="273" s="1"/>
  <c r="H6" i="273" s="1"/>
  <c r="L28" i="273"/>
  <c r="L30" i="273" s="1"/>
  <c r="L45" i="273" s="1"/>
  <c r="L6" i="273" s="1"/>
  <c r="P28" i="273"/>
  <c r="P30" i="273" s="1"/>
  <c r="P45" i="273" s="1"/>
  <c r="P6" i="273" s="1"/>
  <c r="H17" i="275"/>
  <c r="H18" i="275" s="1"/>
  <c r="H264" i="278"/>
  <c r="H266" i="278" s="1"/>
  <c r="H267" i="278" s="1"/>
  <c r="G220" i="220"/>
  <c r="G222" i="220" s="1"/>
  <c r="G223" i="220" s="1"/>
  <c r="G6" i="220" s="1"/>
  <c r="C6" i="220" s="1"/>
  <c r="E38" i="251" s="1"/>
  <c r="C15" i="258" s="1"/>
  <c r="E15" i="258" s="1"/>
  <c r="I215" i="273"/>
  <c r="I217" i="273" s="1"/>
  <c r="I218" i="273" s="1"/>
  <c r="H221" i="279"/>
  <c r="H223" i="279" s="1"/>
  <c r="H224" i="279" s="1"/>
  <c r="H295" i="219"/>
  <c r="H297" i="219" s="1"/>
  <c r="H298" i="219" s="1"/>
  <c r="H4" i="219" s="1"/>
  <c r="H146" i="224"/>
  <c r="H148" i="224" s="1"/>
  <c r="H149" i="224" s="1"/>
  <c r="E45" i="250"/>
  <c r="G45" i="250" s="1"/>
  <c r="G51" i="250" s="1"/>
  <c r="G5" i="250" s="1"/>
  <c r="P73" i="275"/>
  <c r="P75" i="275" s="1"/>
  <c r="P76" i="275" s="1"/>
  <c r="H6" i="219" l="1"/>
  <c r="D5" i="219" s="1"/>
  <c r="E35" i="251" s="1"/>
  <c r="C12" i="258" s="1"/>
  <c r="I45" i="273"/>
  <c r="I6" i="273" s="1"/>
  <c r="I27" i="224"/>
  <c r="I29" i="224" s="1"/>
  <c r="I53" i="224" s="1"/>
  <c r="H27" i="224"/>
  <c r="H29" i="224" s="1"/>
  <c r="H53" i="224" s="1"/>
  <c r="G27" i="224"/>
  <c r="G29" i="224" s="1"/>
  <c r="E43" i="251"/>
  <c r="C21" i="258" s="1"/>
  <c r="E21" i="258" s="1"/>
  <c r="E22" i="258" s="1"/>
  <c r="N91" i="224"/>
  <c r="N93" i="224" s="1"/>
  <c r="D5" i="273" l="1"/>
  <c r="E36" i="251" s="1"/>
  <c r="C13" i="258" s="1"/>
  <c r="E13" i="258" s="1"/>
  <c r="G53" i="224"/>
  <c r="I91" i="224"/>
  <c r="I93" i="224" s="1"/>
  <c r="E44" i="251"/>
  <c r="C22" i="258" s="1"/>
  <c r="G91" i="224"/>
  <c r="G93" i="224" s="1"/>
  <c r="H91" i="224"/>
  <c r="H93" i="224" s="1"/>
  <c r="L91" i="224"/>
  <c r="L93" i="224" s="1"/>
  <c r="O91" i="224"/>
  <c r="O93" i="224" s="1"/>
  <c r="M91" i="224"/>
  <c r="M93" i="224" s="1"/>
  <c r="K91" i="224"/>
  <c r="K93" i="224" s="1"/>
  <c r="P91" i="224"/>
  <c r="P93" i="224" s="1"/>
  <c r="J91" i="224"/>
  <c r="J93" i="224" s="1"/>
  <c r="E12" i="258"/>
  <c r="N136" i="279" l="1"/>
  <c r="L128" i="279"/>
  <c r="G128" i="279"/>
  <c r="N124" i="279"/>
  <c r="H132" i="279"/>
  <c r="P152" i="279"/>
  <c r="H116" i="279"/>
  <c r="H148" i="279"/>
  <c r="G152" i="279"/>
  <c r="O156" i="279"/>
  <c r="O124" i="279"/>
  <c r="M144" i="279"/>
  <c r="K144" i="279"/>
  <c r="O116" i="279"/>
  <c r="P120" i="279"/>
  <c r="N152" i="279"/>
  <c r="P128" i="279"/>
  <c r="P136" i="279"/>
  <c r="I156" i="279"/>
  <c r="J140" i="279"/>
  <c r="N144" i="279"/>
  <c r="N132" i="279"/>
  <c r="J152" i="279"/>
  <c r="G132" i="279"/>
  <c r="N128" i="279"/>
  <c r="H124" i="279"/>
  <c r="H120" i="279"/>
  <c r="J120" i="279"/>
  <c r="K148" i="279"/>
  <c r="M152" i="279"/>
  <c r="K128" i="279"/>
  <c r="H136" i="279"/>
  <c r="I136" i="279"/>
  <c r="H156" i="279"/>
  <c r="H140" i="279"/>
  <c r="M124" i="279"/>
  <c r="J144" i="279"/>
  <c r="G144" i="279"/>
  <c r="L132" i="279"/>
  <c r="N148" i="279"/>
  <c r="M156" i="279"/>
  <c r="H152" i="279"/>
  <c r="I140" i="279"/>
  <c r="I116" i="279"/>
  <c r="N120" i="279"/>
  <c r="J148" i="279"/>
  <c r="M148" i="279"/>
  <c r="L152" i="279"/>
  <c r="I128" i="279"/>
  <c r="M136" i="279"/>
  <c r="N156" i="279"/>
  <c r="G156" i="279"/>
  <c r="O140" i="279"/>
  <c r="L124" i="279"/>
  <c r="I144" i="279"/>
  <c r="J132" i="279"/>
  <c r="K132" i="279"/>
  <c r="G120" i="279"/>
  <c r="P140" i="279"/>
  <c r="M120" i="279"/>
  <c r="M140" i="279"/>
  <c r="P116" i="279"/>
  <c r="O120" i="279"/>
  <c r="O148" i="279"/>
  <c r="L148" i="279"/>
  <c r="K152" i="279"/>
  <c r="H128" i="279"/>
  <c r="L136" i="279"/>
  <c r="J156" i="279"/>
  <c r="P156" i="279"/>
  <c r="G140" i="279"/>
  <c r="G124" i="279"/>
  <c r="H144" i="279"/>
  <c r="P132" i="279"/>
  <c r="M132" i="279"/>
  <c r="O128" i="279"/>
  <c r="I124" i="279"/>
  <c r="K116" i="279"/>
  <c r="G136" i="279"/>
  <c r="P144" i="279"/>
  <c r="K136" i="279" l="1"/>
  <c r="L156" i="279"/>
  <c r="L158" i="279" s="1"/>
  <c r="K124" i="279"/>
  <c r="K120" i="279"/>
  <c r="K122" i="279" s="1"/>
  <c r="O144" i="279"/>
  <c r="O146" i="279" s="1"/>
  <c r="O152" i="279"/>
  <c r="O154" i="279" s="1"/>
  <c r="I152" i="279"/>
  <c r="I154" i="279" s="1"/>
  <c r="K140" i="279"/>
  <c r="K142" i="279" s="1"/>
  <c r="L116" i="279"/>
  <c r="P124" i="279"/>
  <c r="P126" i="279" s="1"/>
  <c r="P148" i="279"/>
  <c r="L120" i="279"/>
  <c r="O136" i="279"/>
  <c r="O138" i="279" s="1"/>
  <c r="J136" i="279"/>
  <c r="J138" i="279" s="1"/>
  <c r="I132" i="279"/>
  <c r="I134" i="279" s="1"/>
  <c r="L140" i="279"/>
  <c r="L142" i="279" s="1"/>
  <c r="M116" i="279"/>
  <c r="L144" i="279"/>
  <c r="L146" i="279" s="1"/>
  <c r="G148" i="279"/>
  <c r="G116" i="279"/>
  <c r="M128" i="279"/>
  <c r="I148" i="279"/>
  <c r="I150" i="279" s="1"/>
  <c r="K156" i="279"/>
  <c r="K158" i="279" s="1"/>
  <c r="J116" i="279"/>
  <c r="J118" i="279" s="1"/>
  <c r="N116" i="279"/>
  <c r="J124" i="279"/>
  <c r="I120" i="279"/>
  <c r="O132" i="279"/>
  <c r="J128" i="279"/>
  <c r="N140" i="279"/>
  <c r="N142" i="279" s="1"/>
  <c r="L112" i="279"/>
  <c r="I112" i="279"/>
  <c r="O112" i="279"/>
  <c r="G112" i="279"/>
  <c r="P112" i="279"/>
  <c r="H112" i="279"/>
  <c r="M112" i="279"/>
  <c r="N112" i="279"/>
  <c r="J112" i="279"/>
  <c r="K112" i="279"/>
  <c r="J158" i="279"/>
  <c r="P154" i="279"/>
  <c r="H154" i="279"/>
  <c r="O150" i="279"/>
  <c r="G150" i="279"/>
  <c r="N146" i="279"/>
  <c r="N138" i="279"/>
  <c r="L134" i="279"/>
  <c r="J130" i="279"/>
  <c r="I126" i="279"/>
  <c r="P122" i="279"/>
  <c r="H122" i="279"/>
  <c r="P118" i="279"/>
  <c r="H118" i="279"/>
  <c r="I158" i="279"/>
  <c r="G154" i="279"/>
  <c r="N150" i="279"/>
  <c r="M146" i="279"/>
  <c r="M142" i="279"/>
  <c r="M138" i="279"/>
  <c r="K134" i="279"/>
  <c r="I130" i="279"/>
  <c r="H126" i="279"/>
  <c r="O122" i="279"/>
  <c r="G122" i="279"/>
  <c r="O118" i="279"/>
  <c r="G118" i="279"/>
  <c r="P158" i="279"/>
  <c r="H158" i="279"/>
  <c r="N154" i="279"/>
  <c r="M150" i="279"/>
  <c r="L138" i="279"/>
  <c r="J134" i="279"/>
  <c r="P130" i="279"/>
  <c r="H130" i="279"/>
  <c r="O126" i="279"/>
  <c r="G126" i="279"/>
  <c r="N122" i="279"/>
  <c r="N118" i="279"/>
  <c r="O158" i="279"/>
  <c r="G158" i="279"/>
  <c r="M154" i="279"/>
  <c r="L150" i="279"/>
  <c r="K146" i="279"/>
  <c r="K138" i="279"/>
  <c r="O130" i="279"/>
  <c r="G130" i="279"/>
  <c r="N126" i="279"/>
  <c r="M122" i="279"/>
  <c r="M118" i="279"/>
  <c r="I118" i="279"/>
  <c r="N158" i="279"/>
  <c r="L154" i="279"/>
  <c r="K150" i="279"/>
  <c r="J146" i="279"/>
  <c r="J142" i="279"/>
  <c r="P134" i="279"/>
  <c r="H134" i="279"/>
  <c r="N130" i="279"/>
  <c r="M126" i="279"/>
  <c r="L122" i="279"/>
  <c r="L118" i="279"/>
  <c r="P150" i="279"/>
  <c r="O142" i="279"/>
  <c r="M134" i="279"/>
  <c r="M158" i="279"/>
  <c r="K154" i="279"/>
  <c r="J150" i="279"/>
  <c r="I146" i="279"/>
  <c r="I142" i="279"/>
  <c r="I138" i="279"/>
  <c r="O134" i="279"/>
  <c r="G134" i="279"/>
  <c r="M130" i="279"/>
  <c r="L126" i="279"/>
  <c r="K118" i="279"/>
  <c r="H150" i="279"/>
  <c r="G142" i="279"/>
  <c r="G138" i="279"/>
  <c r="K130" i="279"/>
  <c r="J126" i="279"/>
  <c r="J154" i="279"/>
  <c r="P146" i="279"/>
  <c r="H146" i="279"/>
  <c r="P142" i="279"/>
  <c r="H142" i="279"/>
  <c r="P138" i="279"/>
  <c r="H138" i="279"/>
  <c r="N134" i="279"/>
  <c r="L130" i="279"/>
  <c r="K126" i="279"/>
  <c r="J122" i="279"/>
  <c r="G146" i="279"/>
  <c r="I122" i="279"/>
  <c r="I75" i="224" l="1"/>
  <c r="I77" i="224" s="1"/>
  <c r="I78" i="224" s="1"/>
  <c r="O114" i="279"/>
  <c r="G114" i="279"/>
  <c r="N114" i="279"/>
  <c r="M114" i="279"/>
  <c r="L114" i="279"/>
  <c r="K114" i="279"/>
  <c r="P114" i="279"/>
  <c r="J114" i="279"/>
  <c r="H114" i="279"/>
  <c r="I114" i="279"/>
  <c r="K108" i="279"/>
  <c r="K110" i="279" s="1"/>
  <c r="O108" i="279"/>
  <c r="O110" i="279" s="1"/>
  <c r="G108" i="279"/>
  <c r="G110" i="279" s="1"/>
  <c r="J108" i="279"/>
  <c r="J110" i="279" s="1"/>
  <c r="I108" i="279"/>
  <c r="I110" i="279" s="1"/>
  <c r="N108" i="279"/>
  <c r="N110" i="279" s="1"/>
  <c r="P108" i="279"/>
  <c r="P110" i="279" s="1"/>
  <c r="M108" i="279"/>
  <c r="M110" i="279" s="1"/>
  <c r="H108" i="279"/>
  <c r="H110" i="279" s="1"/>
  <c r="L108" i="279"/>
  <c r="L110" i="279" s="1"/>
  <c r="L81" i="224"/>
  <c r="L83" i="224" s="1"/>
  <c r="L88" i="224" s="1"/>
  <c r="O81" i="224"/>
  <c r="O83" i="224" s="1"/>
  <c r="O88" i="224" s="1"/>
  <c r="M81" i="224"/>
  <c r="M83" i="224" s="1"/>
  <c r="M88" i="224" s="1"/>
  <c r="K81" i="224"/>
  <c r="K83" i="224" s="1"/>
  <c r="K88" i="224" s="1"/>
  <c r="H81" i="224"/>
  <c r="H83" i="224" s="1"/>
  <c r="H88" i="224" s="1"/>
  <c r="N81" i="224"/>
  <c r="N83" i="224" s="1"/>
  <c r="N88" i="224" s="1"/>
  <c r="P81" i="224"/>
  <c r="P83" i="224" s="1"/>
  <c r="P88" i="224" s="1"/>
  <c r="I81" i="224"/>
  <c r="I83" i="224" s="1"/>
  <c r="I88" i="224" s="1"/>
  <c r="G81" i="224"/>
  <c r="G83" i="224" s="1"/>
  <c r="G88" i="224" s="1"/>
  <c r="J81" i="224"/>
  <c r="J83" i="224" s="1"/>
  <c r="J88" i="224" s="1"/>
  <c r="O63" i="279" l="1"/>
  <c r="O65" i="279" s="1"/>
  <c r="G75" i="224"/>
  <c r="H75" i="224"/>
  <c r="H77" i="224" s="1"/>
  <c r="H78" i="224" s="1"/>
  <c r="J63" i="279"/>
  <c r="J65" i="279" s="1"/>
  <c r="N63" i="279"/>
  <c r="N65" i="279" s="1"/>
  <c r="P63" i="279"/>
  <c r="P65" i="279" s="1"/>
  <c r="K63" i="279"/>
  <c r="K65" i="279" s="1"/>
  <c r="I63" i="279"/>
  <c r="I65" i="279" s="1"/>
  <c r="H63" i="279"/>
  <c r="H65" i="279" s="1"/>
  <c r="G63" i="279"/>
  <c r="G65" i="279" s="1"/>
  <c r="M63" i="279"/>
  <c r="M65" i="279" s="1"/>
  <c r="K31" i="279"/>
  <c r="K33" i="279" s="1"/>
  <c r="M27" i="279"/>
  <c r="M29" i="279" s="1"/>
  <c r="J35" i="279"/>
  <c r="J37" i="279" s="1"/>
  <c r="K35" i="279"/>
  <c r="K37" i="279" s="1"/>
  <c r="M35" i="279"/>
  <c r="M37" i="279" s="1"/>
  <c r="G31" i="279"/>
  <c r="G33" i="279" s="1"/>
  <c r="L27" i="279"/>
  <c r="L29" i="279" s="1"/>
  <c r="P35" i="279"/>
  <c r="P37" i="279" s="1"/>
  <c r="L35" i="279"/>
  <c r="L37" i="279" s="1"/>
  <c r="M31" i="279"/>
  <c r="M33" i="279" s="1"/>
  <c r="K27" i="279"/>
  <c r="K29" i="279" s="1"/>
  <c r="O35" i="279"/>
  <c r="O37" i="279" s="1"/>
  <c r="H27" i="279"/>
  <c r="H29" i="279" s="1"/>
  <c r="H31" i="279"/>
  <c r="H33" i="279" s="1"/>
  <c r="P27" i="279"/>
  <c r="P29" i="279" s="1"/>
  <c r="I35" i="279"/>
  <c r="I37" i="279" s="1"/>
  <c r="J27" i="279"/>
  <c r="J29" i="279" s="1"/>
  <c r="L31" i="279"/>
  <c r="L33" i="279" s="1"/>
  <c r="O31" i="279"/>
  <c r="O33" i="279" s="1"/>
  <c r="I27" i="279"/>
  <c r="I29" i="279" s="1"/>
  <c r="H35" i="279"/>
  <c r="H37" i="279" s="1"/>
  <c r="P31" i="279"/>
  <c r="P33" i="279" s="1"/>
  <c r="J31" i="279"/>
  <c r="J33" i="279" s="1"/>
  <c r="N31" i="279"/>
  <c r="N33" i="279" s="1"/>
  <c r="O27" i="279"/>
  <c r="O29" i="279" s="1"/>
  <c r="G35" i="279"/>
  <c r="G37" i="279" s="1"/>
  <c r="I31" i="279"/>
  <c r="I33" i="279" s="1"/>
  <c r="N27" i="279"/>
  <c r="N29" i="279" s="1"/>
  <c r="G27" i="279"/>
  <c r="G29" i="279" s="1"/>
  <c r="N35" i="279"/>
  <c r="N37" i="279" s="1"/>
  <c r="G59" i="279"/>
  <c r="G61" i="279" s="1"/>
  <c r="L55" i="279"/>
  <c r="L57" i="279" s="1"/>
  <c r="J47" i="279"/>
  <c r="J49" i="279" s="1"/>
  <c r="K43" i="279"/>
  <c r="K45" i="279" s="1"/>
  <c r="J51" i="279"/>
  <c r="J53" i="279" s="1"/>
  <c r="M51" i="279"/>
  <c r="M53" i="279" s="1"/>
  <c r="P59" i="279"/>
  <c r="P61" i="279" s="1"/>
  <c r="J55" i="279"/>
  <c r="J57" i="279" s="1"/>
  <c r="P47" i="279"/>
  <c r="P49" i="279" s="1"/>
  <c r="M43" i="279"/>
  <c r="M45" i="279" s="1"/>
  <c r="H51" i="279"/>
  <c r="H53" i="279" s="1"/>
  <c r="K51" i="279"/>
  <c r="K53" i="279" s="1"/>
  <c r="O59" i="279"/>
  <c r="O61" i="279" s="1"/>
  <c r="N59" i="279"/>
  <c r="N61" i="279" s="1"/>
  <c r="H59" i="279"/>
  <c r="H61" i="279" s="1"/>
  <c r="P55" i="279"/>
  <c r="P57" i="279" s="1"/>
  <c r="K55" i="279"/>
  <c r="K57" i="279" s="1"/>
  <c r="G47" i="279"/>
  <c r="G49" i="279" s="1"/>
  <c r="J43" i="279"/>
  <c r="J45" i="279" s="1"/>
  <c r="O51" i="279"/>
  <c r="O53" i="279" s="1"/>
  <c r="K47" i="279"/>
  <c r="K49" i="279" s="1"/>
  <c r="H43" i="279"/>
  <c r="H45" i="279" s="1"/>
  <c r="K59" i="279"/>
  <c r="K61" i="279" s="1"/>
  <c r="I59" i="279"/>
  <c r="I61" i="279" s="1"/>
  <c r="H55" i="279"/>
  <c r="H57" i="279" s="1"/>
  <c r="I55" i="279"/>
  <c r="I57" i="279" s="1"/>
  <c r="N47" i="279"/>
  <c r="N49" i="279" s="1"/>
  <c r="P43" i="279"/>
  <c r="P45" i="279" s="1"/>
  <c r="N51" i="279"/>
  <c r="N53" i="279" s="1"/>
  <c r="L51" i="279"/>
  <c r="L53" i="279" s="1"/>
  <c r="J59" i="279"/>
  <c r="J61" i="279" s="1"/>
  <c r="N55" i="279"/>
  <c r="N57" i="279" s="1"/>
  <c r="L47" i="279"/>
  <c r="L49" i="279" s="1"/>
  <c r="M47" i="279"/>
  <c r="M49" i="279" s="1"/>
  <c r="I43" i="279"/>
  <c r="I45" i="279" s="1"/>
  <c r="I51" i="279"/>
  <c r="I53" i="279" s="1"/>
  <c r="L43" i="279"/>
  <c r="L45" i="279" s="1"/>
  <c r="M59" i="279"/>
  <c r="M61" i="279" s="1"/>
  <c r="O55" i="279"/>
  <c r="O57" i="279" s="1"/>
  <c r="I47" i="279"/>
  <c r="I49" i="279" s="1"/>
  <c r="O47" i="279"/>
  <c r="O49" i="279" s="1"/>
  <c r="G43" i="279"/>
  <c r="G45" i="279" s="1"/>
  <c r="P51" i="279"/>
  <c r="P53" i="279" s="1"/>
  <c r="L59" i="279"/>
  <c r="L61" i="279" s="1"/>
  <c r="G55" i="279"/>
  <c r="G57" i="279" s="1"/>
  <c r="H47" i="279"/>
  <c r="H49" i="279" s="1"/>
  <c r="N43" i="279"/>
  <c r="N45" i="279" s="1"/>
  <c r="O43" i="279"/>
  <c r="O45" i="279" s="1"/>
  <c r="G51" i="279"/>
  <c r="G53" i="279" s="1"/>
  <c r="M55" i="279"/>
  <c r="M57" i="279" s="1"/>
  <c r="P71" i="279"/>
  <c r="P73" i="279" s="1"/>
  <c r="J71" i="279"/>
  <c r="J73" i="279" s="1"/>
  <c r="P75" i="279"/>
  <c r="P77" i="279" s="1"/>
  <c r="K75" i="279"/>
  <c r="K77" i="279" s="1"/>
  <c r="H71" i="279"/>
  <c r="H73" i="279" s="1"/>
  <c r="I71" i="279"/>
  <c r="I73" i="279" s="1"/>
  <c r="I75" i="279"/>
  <c r="I77" i="279" s="1"/>
  <c r="G71" i="279"/>
  <c r="G73" i="279" s="1"/>
  <c r="M71" i="279"/>
  <c r="M73" i="279" s="1"/>
  <c r="N75" i="279"/>
  <c r="N77" i="279" s="1"/>
  <c r="G75" i="279"/>
  <c r="G77" i="279" s="1"/>
  <c r="O71" i="279"/>
  <c r="O73" i="279" s="1"/>
  <c r="L71" i="279"/>
  <c r="L73" i="279" s="1"/>
  <c r="L75" i="279"/>
  <c r="L77" i="279" s="1"/>
  <c r="O75" i="279"/>
  <c r="O77" i="279" s="1"/>
  <c r="M75" i="279"/>
  <c r="M77" i="279" s="1"/>
  <c r="N71" i="279"/>
  <c r="N73" i="279" s="1"/>
  <c r="J75" i="279"/>
  <c r="J77" i="279" s="1"/>
  <c r="H75" i="279"/>
  <c r="H77" i="279" s="1"/>
  <c r="K71" i="279"/>
  <c r="K73" i="279" s="1"/>
  <c r="H159" i="279"/>
  <c r="N159" i="279"/>
  <c r="I159" i="279"/>
  <c r="G159" i="279"/>
  <c r="O159" i="279"/>
  <c r="L159" i="279"/>
  <c r="M159" i="279"/>
  <c r="P159" i="279"/>
  <c r="J159" i="279"/>
  <c r="L19" i="279"/>
  <c r="L21" i="279" s="1"/>
  <c r="P19" i="279"/>
  <c r="P21" i="279" s="1"/>
  <c r="O19" i="279"/>
  <c r="O21" i="279" s="1"/>
  <c r="G19" i="279"/>
  <c r="G21" i="279" s="1"/>
  <c r="K19" i="279"/>
  <c r="K21" i="279" s="1"/>
  <c r="M19" i="279"/>
  <c r="M21" i="279" s="1"/>
  <c r="K159" i="279"/>
  <c r="H96" i="224"/>
  <c r="H98" i="224" s="1"/>
  <c r="J19" i="279"/>
  <c r="J21" i="279" s="1"/>
  <c r="L63" i="279" l="1"/>
  <c r="L65" i="279" s="1"/>
  <c r="I19" i="279"/>
  <c r="I21" i="279" s="1"/>
  <c r="H19" i="279"/>
  <c r="H21" i="279" s="1"/>
  <c r="N19" i="279"/>
  <c r="N21" i="279" s="1"/>
  <c r="L96" i="224"/>
  <c r="L98" i="224" s="1"/>
  <c r="P96" i="224"/>
  <c r="P98" i="224" s="1"/>
  <c r="M96" i="224"/>
  <c r="M98" i="224" s="1"/>
  <c r="J96" i="224"/>
  <c r="J98" i="224" s="1"/>
  <c r="G96" i="224"/>
  <c r="G98" i="224" s="1"/>
  <c r="I96" i="224"/>
  <c r="I98" i="224" s="1"/>
  <c r="O96" i="224"/>
  <c r="O98" i="224" s="1"/>
  <c r="N96" i="224"/>
  <c r="N98" i="224" s="1"/>
  <c r="K96" i="224"/>
  <c r="K98" i="224" s="1"/>
  <c r="H23" i="279"/>
  <c r="H25" i="279" s="1"/>
  <c r="J23" i="279"/>
  <c r="J25" i="279" s="1"/>
  <c r="N23" i="279"/>
  <c r="N25" i="279" s="1"/>
  <c r="L23" i="279"/>
  <c r="L25" i="279" s="1"/>
  <c r="P23" i="279"/>
  <c r="P25" i="279" s="1"/>
  <c r="M23" i="279"/>
  <c r="M25" i="279" s="1"/>
  <c r="K23" i="279"/>
  <c r="K25" i="279" s="1"/>
  <c r="I23" i="279"/>
  <c r="I25" i="279" s="1"/>
  <c r="O23" i="279"/>
  <c r="O25" i="279" s="1"/>
  <c r="G23" i="279"/>
  <c r="G25" i="279" s="1"/>
  <c r="G77" i="224"/>
  <c r="G78" i="224" s="1"/>
  <c r="P39" i="279"/>
  <c r="P41" i="279" s="1"/>
  <c r="K39" i="279"/>
  <c r="K41" i="279" s="1"/>
  <c r="H39" i="279"/>
  <c r="H41" i="279" s="1"/>
  <c r="J39" i="279"/>
  <c r="J41" i="279" s="1"/>
  <c r="L39" i="279"/>
  <c r="L41" i="279" s="1"/>
  <c r="O39" i="279"/>
  <c r="O41" i="279" s="1"/>
  <c r="G39" i="279"/>
  <c r="G41" i="279" s="1"/>
  <c r="N39" i="279"/>
  <c r="N41" i="279" s="1"/>
  <c r="M39" i="279"/>
  <c r="M41" i="279" s="1"/>
  <c r="I39" i="279"/>
  <c r="I41" i="279" s="1"/>
  <c r="J67" i="279"/>
  <c r="J69" i="279" s="1"/>
  <c r="L67" i="279"/>
  <c r="L69" i="279" s="1"/>
  <c r="P67" i="279"/>
  <c r="P69" i="279" s="1"/>
  <c r="K67" i="279"/>
  <c r="K69" i="279" s="1"/>
  <c r="G67" i="279"/>
  <c r="G69" i="279" s="1"/>
  <c r="M67" i="279"/>
  <c r="M69" i="279" s="1"/>
  <c r="I67" i="279"/>
  <c r="I69" i="279" s="1"/>
  <c r="H67" i="279"/>
  <c r="H69" i="279" s="1"/>
  <c r="O67" i="279"/>
  <c r="O69" i="279" s="1"/>
  <c r="N67" i="279"/>
  <c r="N69" i="279" s="1"/>
  <c r="N102" i="224"/>
  <c r="I102" i="224"/>
  <c r="K102" i="224"/>
  <c r="L102" i="224"/>
  <c r="P102" i="224"/>
  <c r="M102" i="224"/>
  <c r="J102" i="224"/>
  <c r="G102" i="224"/>
  <c r="O102" i="224"/>
  <c r="H102" i="224"/>
  <c r="H103" i="224" s="1"/>
  <c r="P103" i="224" l="1"/>
  <c r="L103" i="224"/>
  <c r="N103" i="224"/>
  <c r="K103" i="224"/>
  <c r="M103" i="224"/>
  <c r="J103" i="224"/>
  <c r="O103" i="224"/>
  <c r="G103" i="224"/>
  <c r="I103" i="224"/>
  <c r="O78" i="279"/>
  <c r="J78" i="279"/>
  <c r="L78" i="279"/>
  <c r="N78" i="279"/>
  <c r="P78" i="279"/>
  <c r="G78" i="279"/>
  <c r="H78" i="279"/>
  <c r="K78" i="279"/>
  <c r="M78" i="279"/>
  <c r="I78" i="279"/>
  <c r="H115" i="224" l="1"/>
  <c r="H116" i="224" s="1"/>
  <c r="G106" i="224"/>
  <c r="G108" i="224" s="1"/>
  <c r="G109" i="224" s="1"/>
  <c r="P115" i="224"/>
  <c r="P116" i="224" s="1"/>
  <c r="G115" i="224"/>
  <c r="G116" i="224" s="1"/>
  <c r="I106" i="224"/>
  <c r="I108" i="224" s="1"/>
  <c r="I109" i="224" s="1"/>
  <c r="I115" i="224"/>
  <c r="I116" i="224" s="1"/>
  <c r="P106" i="224"/>
  <c r="P108" i="224" s="1"/>
  <c r="P109" i="224" s="1"/>
  <c r="J115" i="224"/>
  <c r="J116" i="224" s="1"/>
  <c r="M106" i="224"/>
  <c r="M108" i="224" s="1"/>
  <c r="M109" i="224" s="1"/>
  <c r="L106" i="224"/>
  <c r="L108" i="224" s="1"/>
  <c r="L109" i="224" s="1"/>
  <c r="K106" i="224"/>
  <c r="K108" i="224" s="1"/>
  <c r="K109" i="224" s="1"/>
  <c r="H106" i="224"/>
  <c r="H108" i="224" s="1"/>
  <c r="H109" i="224" s="1"/>
  <c r="N115" i="224"/>
  <c r="N116" i="224" s="1"/>
  <c r="N106" i="224"/>
  <c r="N108" i="224" s="1"/>
  <c r="N109" i="224" s="1"/>
  <c r="O106" i="224"/>
  <c r="O108" i="224" s="1"/>
  <c r="O109" i="224" s="1"/>
  <c r="K115" i="224"/>
  <c r="K116" i="224" s="1"/>
  <c r="M115" i="224"/>
  <c r="M116" i="224" s="1"/>
  <c r="O115" i="224"/>
  <c r="O116" i="224" s="1"/>
  <c r="J106" i="224"/>
  <c r="J108" i="224" s="1"/>
  <c r="J109" i="224" s="1"/>
  <c r="L115" i="224"/>
  <c r="L116" i="224" s="1"/>
  <c r="L5" i="224" l="1"/>
  <c r="N5" i="224"/>
  <c r="P5" i="224"/>
  <c r="O5" i="224"/>
  <c r="I5" i="224"/>
  <c r="M5" i="224"/>
  <c r="H5" i="224"/>
  <c r="J5" i="224"/>
  <c r="K5" i="224"/>
  <c r="B2" i="213" l="1"/>
  <c r="B2" i="64"/>
  <c r="B2" i="194"/>
  <c r="B2" i="204"/>
  <c r="B2" i="271"/>
  <c r="B2" i="220"/>
  <c r="B2" i="258"/>
  <c r="B2" i="251"/>
  <c r="C2" i="224"/>
  <c r="B2" i="260"/>
  <c r="C2" i="219"/>
  <c r="C2" i="278"/>
  <c r="C2" i="273"/>
  <c r="J21" i="228" l="1"/>
  <c r="J22" i="228" s="1"/>
  <c r="J6" i="228" s="1"/>
  <c r="N21" i="228"/>
  <c r="N22" i="228" s="1"/>
  <c r="N6" i="228" s="1"/>
  <c r="K21" i="228"/>
  <c r="K22" i="228" s="1"/>
  <c r="K6" i="228" s="1"/>
  <c r="O21" i="228"/>
  <c r="O22" i="228" s="1"/>
  <c r="O6" i="228" s="1"/>
  <c r="P21" i="228"/>
  <c r="P22" i="228" s="1"/>
  <c r="P6" i="228" s="1"/>
  <c r="Q21" i="228"/>
  <c r="Q22" i="228" s="1"/>
  <c r="Q6" i="228" s="1"/>
  <c r="L21" i="228"/>
  <c r="L22" i="228" s="1"/>
  <c r="L6" i="228" s="1"/>
  <c r="M21" i="228"/>
  <c r="M22" i="228" s="1"/>
  <c r="M6" i="228" s="1"/>
  <c r="G21" i="228"/>
  <c r="G22" i="228" s="1"/>
  <c r="G6" i="228" s="1"/>
  <c r="H21" i="228"/>
  <c r="H22" i="228" s="1"/>
  <c r="H6" i="228" s="1"/>
  <c r="F21" i="228"/>
  <c r="F22" i="228" s="1"/>
  <c r="F6" i="228" s="1"/>
  <c r="I21" i="228"/>
  <c r="I22" i="228" s="1"/>
  <c r="I6" i="228" s="1"/>
  <c r="N90" i="279"/>
  <c r="N92" i="279" s="1"/>
  <c r="N98" i="279" s="1"/>
  <c r="N5" i="279" s="1"/>
  <c r="I90" i="279"/>
  <c r="I92" i="279" s="1"/>
  <c r="I98" i="279" s="1"/>
  <c r="I5" i="279" s="1"/>
  <c r="G90" i="279" l="1"/>
  <c r="G92" i="279" s="1"/>
  <c r="G98" i="279" s="1"/>
  <c r="G5" i="279" s="1"/>
  <c r="M90" i="279"/>
  <c r="M92" i="279" s="1"/>
  <c r="M98" i="279" s="1"/>
  <c r="M5" i="279" s="1"/>
  <c r="O90" i="279"/>
  <c r="O92" i="279" s="1"/>
  <c r="O98" i="279" s="1"/>
  <c r="O5" i="279" s="1"/>
  <c r="H90" i="279"/>
  <c r="H92" i="279" s="1"/>
  <c r="H98" i="279" s="1"/>
  <c r="H5" i="279" s="1"/>
  <c r="L90" i="279"/>
  <c r="L92" i="279" s="1"/>
  <c r="L98" i="279" s="1"/>
  <c r="L5" i="279" s="1"/>
  <c r="K90" i="279"/>
  <c r="K92" i="279" s="1"/>
  <c r="K98" i="279" s="1"/>
  <c r="K5" i="279" s="1"/>
  <c r="P90" i="279"/>
  <c r="P92" i="279" s="1"/>
  <c r="P98" i="279" s="1"/>
  <c r="P5" i="279" s="1"/>
  <c r="J90" i="279"/>
  <c r="J92" i="279" s="1"/>
  <c r="J98" i="279" s="1"/>
  <c r="J5" i="279" s="1"/>
  <c r="C6" i="228"/>
  <c r="E39" i="251" s="1"/>
  <c r="C16" i="258" s="1"/>
  <c r="E16" i="258" s="1"/>
  <c r="D5" i="279" l="1"/>
  <c r="E34" i="251" s="1"/>
  <c r="C17" i="258" s="1"/>
  <c r="E17" i="258" s="1"/>
  <c r="N178" i="278"/>
  <c r="N179" i="278" s="1"/>
  <c r="N6" i="278" s="1"/>
  <c r="H178" i="278"/>
  <c r="H179" i="278" s="1"/>
  <c r="H6" i="278" s="1"/>
  <c r="J178" i="278"/>
  <c r="J179" i="278" s="1"/>
  <c r="J6" i="278" s="1"/>
  <c r="M178" i="278"/>
  <c r="M179" i="278" s="1"/>
  <c r="M6" i="278" s="1"/>
  <c r="O178" i="278"/>
  <c r="O179" i="278" s="1"/>
  <c r="O6" i="278" s="1"/>
  <c r="L178" i="278"/>
  <c r="L179" i="278" s="1"/>
  <c r="L6" i="278" s="1"/>
  <c r="G178" i="278"/>
  <c r="G179" i="278" s="1"/>
  <c r="K178" i="278"/>
  <c r="K179" i="278" s="1"/>
  <c r="K6" i="278" s="1"/>
  <c r="P178" i="278"/>
  <c r="P179" i="278" s="1"/>
  <c r="P6" i="278" s="1"/>
  <c r="I178" i="278"/>
  <c r="I179" i="278" s="1"/>
  <c r="I6" i="278" s="1"/>
  <c r="G210" i="275" l="1"/>
  <c r="G5" i="275" s="1"/>
  <c r="G79" i="275" l="1"/>
  <c r="J210" i="275"/>
  <c r="J5" i="275" s="1"/>
  <c r="N210" i="275"/>
  <c r="N5" i="275" s="1"/>
  <c r="I210" i="275"/>
  <c r="I5" i="275" s="1"/>
  <c r="K210" i="275"/>
  <c r="K5" i="275" s="1"/>
  <c r="P210" i="275"/>
  <c r="P5" i="275" s="1"/>
  <c r="L210" i="275"/>
  <c r="L5" i="275" s="1"/>
  <c r="O210" i="275"/>
  <c r="O5" i="275" s="1"/>
  <c r="M210" i="275"/>
  <c r="M5" i="275" s="1"/>
  <c r="H210" i="275"/>
  <c r="H5" i="275" s="1"/>
  <c r="P79" i="275" l="1"/>
  <c r="I79" i="275"/>
  <c r="H79" i="275"/>
  <c r="L79" i="275"/>
  <c r="K79" i="275"/>
  <c r="N79" i="275"/>
  <c r="J79" i="275"/>
  <c r="M79" i="275"/>
  <c r="O79" i="275"/>
  <c r="D5" i="275" l="1"/>
  <c r="E40" i="251" s="1"/>
  <c r="C18" i="258" s="1"/>
  <c r="E18" i="258" s="1"/>
  <c r="E47" i="251" l="1"/>
  <c r="E50" i="251" s="1"/>
  <c r="C26" i="258" s="1"/>
  <c r="E26" i="258" l="1"/>
  <c r="D27" i="258" l="1"/>
  <c r="D28" i="258" s="1"/>
  <c r="G50" i="278" l="1"/>
  <c r="G46" i="278"/>
  <c r="G55" i="278" l="1"/>
  <c r="G6" i="278" s="1"/>
  <c r="D5" i="278" l="1"/>
  <c r="E37" i="251" s="1"/>
  <c r="C14" i="258" l="1"/>
  <c r="E14" i="258" s="1"/>
  <c r="G121" i="224" l="1"/>
  <c r="G122" i="224" s="1"/>
  <c r="G194" i="224"/>
  <c r="G196" i="224" s="1"/>
  <c r="G199" i="224" l="1"/>
  <c r="G202" i="224" s="1"/>
  <c r="G207" i="224"/>
  <c r="G210" i="224" s="1"/>
  <c r="G205" i="224"/>
  <c r="G211" i="224" l="1"/>
  <c r="G5" i="224" s="1"/>
  <c r="D5" i="224" s="1"/>
  <c r="E32" i="251" s="1"/>
  <c r="C10" i="258" s="1"/>
  <c r="E10" i="258" s="1"/>
  <c r="E19" i="258" s="1"/>
  <c r="E24" i="258" s="1"/>
  <c r="E41" i="251" l="1"/>
  <c r="E46" i="251" s="1"/>
  <c r="C19" i="258" l="1"/>
  <c r="E49" i="251"/>
  <c r="E48" i="251"/>
  <c r="C24" i="258" l="1"/>
  <c r="E51" i="251"/>
  <c r="C27" i="258" s="1"/>
  <c r="C25" i="258"/>
  <c r="E25" i="258" s="1"/>
  <c r="E27" i="258" s="1"/>
  <c r="E28" i="258" s="1"/>
  <c r="E53" i="251" l="1"/>
  <c r="D4" i="275" l="1"/>
  <c r="D4" i="219"/>
  <c r="C4" i="220"/>
  <c r="G3" i="250"/>
  <c r="D4" i="279"/>
  <c r="D4" i="273"/>
  <c r="D4" i="278"/>
  <c r="C4" i="228"/>
  <c r="C28" i="258"/>
  <c r="D4" i="224"/>
  <c r="C4" i="27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<sst xmlns="http://schemas.openxmlformats.org/spreadsheetml/2006/main" count="22909" uniqueCount="3639">
  <si>
    <t>Rehabilitation Cost Estimate Tool - Mining New South Wales</t>
  </si>
  <si>
    <t>RCE Summary</t>
  </si>
  <si>
    <t>Introduction</t>
  </si>
  <si>
    <t xml:space="preserve">The Mining Act 1992 and Petroleum (Onshore) Act 1991 allow the minister (or delegate) to impose a security deposit condition on authorisations or titles granted under these Acts. The security deposit is required for the fulfilment of obligations under the authorisation or title (hereon referred to as an authority) including those related to rehabilitation, and obligations that may arise in the future. Authority holders are required to submit a Rehabilitation Cost Estimate (RCE) whenever a potential change in rehabilitation liability occurs and at other key points throughout the tenure of an authority. The RCE assists the Department in determining the amount of security deposit required for an authority.
</t>
  </si>
  <si>
    <t xml:space="preserve">The RCE tool provides guidance to exploration, mining and petroleum operators on calculating an appropriate RCE for their operations by assisting in the assessment and qualification of rehabilitation risks and liabilities pursuant to the Mining Act 1992 and Petroleum (Onshore) Act 1991.
</t>
  </si>
  <si>
    <t xml:space="preserve">Note: the RCE tool does not apply to the sealing of petroleum wells associated with exploration and production activities under the Petroleum (Onshore) Act 1991. Petroleum titleholders can use the RCE tool for guidance on calculating an appropriate RCE for disturbance associated with their activities. However, it is the expected that a separate estimate is submitted for the sealing of petroleum wells with RCE prepared by a suitably qualified expert in consideration of the scale, nature, risk and age associated with petroleum wells specific to the petroleum title.
</t>
  </si>
  <si>
    <t xml:space="preserve">Prior to calculating an RCE, users need to refer to Guideline: Rehabilitation Cost Estimate, the Rehabilitation Cost Estimate User Manual and the help videos which provide guidance information about, and step by step instructions on how to use the RCE tool. These are available on the Department's website (link below). </t>
  </si>
  <si>
    <t xml:space="preserve">www.resources.nsw.gov.au  </t>
  </si>
  <si>
    <t>Calculating an RCE</t>
  </si>
  <si>
    <t>The framework of the RCE tool has been developed in accordance with a tiered risk-based approach to calculating rehabilitation costs whereby the outcome of the estimation will be based on the nature, size, scale complexity of the operation. While the user has the opportunity to nominate unit rates* which are not the same the default rates in the RCE tool, any other rate proposed by the user must be based on independent third-party costs. This is because if the authority holder defaults on their responsibility to rehabilitate the mine or exploration operation(s), a contractor will need to be engaged by the government to carry out the required rehabilitation works.</t>
  </si>
  <si>
    <t>*Note: The Department may regularly make changes and updates to the RCE tool as necessary. All users must use the most recent version of the RCE tool available on the Department's website.</t>
  </si>
  <si>
    <t>Approved Amounts</t>
  </si>
  <si>
    <t>The inclusion of previous RCE amounts in the Key Changes since last RCE sheet does not mean these amounts are approved by the Department.</t>
  </si>
  <si>
    <t>Fleet Selections</t>
  </si>
  <si>
    <t>A range of fleet sizes is included in the RCE tool to reflect the varying size of earthmoving projects. For large projects, economies of scale can be realised by using larger fleets. It is important the right size fleet is used for each activity to improve the accuracy of the calculation. The table below provides guidance on the selection of fleet sizes.</t>
  </si>
  <si>
    <t>Fleet Size</t>
  </si>
  <si>
    <t>Typical Composition</t>
  </si>
  <si>
    <t>Activities</t>
  </si>
  <si>
    <t>Small</t>
  </si>
  <si>
    <t>740C (ADT) Truck, 980M Loader, 14M Grader, 19kL water truck, D9R Dozer</t>
  </si>
  <si>
    <t>Load, haul and spread top soil and other growth media materials.</t>
  </si>
  <si>
    <t>Load, haul and dump bitumen, stabilised materials, demolition rubble and concrete.</t>
  </si>
  <si>
    <r>
      <t>Load, haul, dump spread fill (small scale) - waste rock landforms, spoil piles, roadways, contaminated soil footprints, ponds, dams, shallow voids, in-pit and other tailings storage facilities and other fill areas – volumes of materials up to 1.0M m</t>
    </r>
    <r>
      <rPr>
        <vertAlign val="superscript"/>
        <sz val="10"/>
        <rFont val="Arial"/>
        <family val="2"/>
      </rPr>
      <t>3</t>
    </r>
    <r>
      <rPr>
        <sz val="10"/>
        <rFont val="Arial"/>
        <family val="2"/>
      </rPr>
      <t>.</t>
    </r>
  </si>
  <si>
    <t>Excavate, load, haul, dump and spread water storage sediment and silt.</t>
  </si>
  <si>
    <t>Medium</t>
  </si>
  <si>
    <t>777G Truck, PC 1250 Excavator, 16M Grader, D10T Dozer</t>
  </si>
  <si>
    <r>
      <t>Load, haul, dump, spread fill (medium scale) - Waste rock landforms, spoil piles, roadways, contaminated soil footprints, ponds, dams, shallow voids, in-pit and other tailings storage facilities and other fill areas – volumes of materials up to 5.0M m</t>
    </r>
    <r>
      <rPr>
        <vertAlign val="superscript"/>
        <sz val="10"/>
        <rFont val="Arial"/>
        <family val="2"/>
      </rPr>
      <t>3</t>
    </r>
    <r>
      <rPr>
        <sz val="10"/>
        <rFont val="Arial"/>
        <family val="2"/>
      </rPr>
      <t>.</t>
    </r>
  </si>
  <si>
    <t>Large</t>
  </si>
  <si>
    <t>793F Truck, EX2500 Excavator, 16M Grader, 785D Water Truck, D11T Dozer</t>
  </si>
  <si>
    <r>
      <t>Load, haul, dump, spread bulk material including fill - waste rock landforms, spoil piles, roadways, contaminated soil footprints, ponds, dams, shallow voids, in-pit and other tailings storage facilities and other fill areas – volumes of materials up to 10M m</t>
    </r>
    <r>
      <rPr>
        <vertAlign val="superscript"/>
        <sz val="10"/>
        <rFont val="Arial"/>
        <family val="2"/>
      </rPr>
      <t>3</t>
    </r>
    <r>
      <rPr>
        <sz val="10"/>
        <rFont val="Arial"/>
        <family val="2"/>
      </rPr>
      <t>.</t>
    </r>
  </si>
  <si>
    <t>Small Dozers</t>
  </si>
  <si>
    <t>D6R or D7R</t>
  </si>
  <si>
    <t>Push / rip lengths &lt;= 100 m</t>
  </si>
  <si>
    <t>Clear vegetation</t>
  </si>
  <si>
    <t>Low height waste dumps and spoil dump, TSF embankment slope re-profiling and shaping.</t>
  </si>
  <si>
    <t>Medium Dozers</t>
  </si>
  <si>
    <t>D8R or D9R</t>
  </si>
  <si>
    <t>Push / rip lengths &lt;= 200 m</t>
  </si>
  <si>
    <t>Waste dump, spoil dump, TSF embankment slope re-profiling and shaping.</t>
  </si>
  <si>
    <t>Shape and doze to establish drainage, spread cover/topsoil/rock mulch layer slopes and flats.</t>
  </si>
  <si>
    <t>Capping of Waste Rock Dumps, Heap Leach Pads and Tailings Storage Facilities.</t>
  </si>
  <si>
    <t>Large Dozer</t>
  </si>
  <si>
    <t>D10T or D11T</t>
  </si>
  <si>
    <t>Bulk Push / rip lengths &lt;= 200 m</t>
  </si>
  <si>
    <t>Waste dump, spoil dump, tailings storage facilities embankment slope re-profiling and shaping.</t>
  </si>
  <si>
    <t>Capping of waste rock dumps, heap leach pads and tailings storage facilities.</t>
  </si>
  <si>
    <t>Small Grader</t>
  </si>
  <si>
    <t>12M</t>
  </si>
  <si>
    <t>Rip / grade to match fleet activities</t>
  </si>
  <si>
    <t>Medium Grader</t>
  </si>
  <si>
    <t>14M</t>
  </si>
  <si>
    <t>Large Grader</t>
  </si>
  <si>
    <t>16M</t>
  </si>
  <si>
    <t>Contingency</t>
  </si>
  <si>
    <t>The contingency allowance is a percentage of the RCE amount for restoring the domains and includes allowances for project management, maintenance and monitoring and pure contingency (see below for further definition). The User can enter a site-specific contingency multiplier on the RCE Summary Sheet. However, this site-specific contingency value cannot be less that the default value. If the default value is not used, quotes must be attached to the RCE application and the User must provide justification in the space provided in the RCE Summary sheet. If a User enters a site-specific contingency multiplier, the tool applies this value instead of the default.</t>
  </si>
  <si>
    <t>Item</t>
  </si>
  <si>
    <t>Definition</t>
  </si>
  <si>
    <t>Project Management</t>
  </si>
  <si>
    <t xml:space="preserve">The tool includes a default multiplier for project management costs, which is included in the contingency. The project management multiplier reflects the cost to government to execute a rehabilitation program for a mine and includes:
• Health and safety and overall work plans.
• Identifying and obtaining permits.
• Procurement of contractors and consultants and ongoing contract management.
• Ongoing management of the project including scheduling, expenditure tracking and forecasting, internal communication, on-site supervision.  
• Stakeholder management including land-owner, community, municipal government and regulators, and media.
• Consulting and legal costs associated with the above items.
</t>
  </si>
  <si>
    <t>Maintenance and monitoring</t>
  </si>
  <si>
    <r>
      <t xml:space="preserve">The contingency includes an allowance for environmental maintenance and monitoring costs.
The environmental maintenance and monitoring multiplier reflects the costs to government to undertake the following: 
</t>
    </r>
    <r>
      <rPr>
        <i/>
        <sz val="10"/>
        <rFont val="Arial"/>
        <family val="2"/>
      </rPr>
      <t>Post-closure maintenance activities:</t>
    </r>
    <r>
      <rPr>
        <sz val="10"/>
        <rFont val="Arial"/>
        <family val="2"/>
      </rPr>
      <t xml:space="preserve">
• Minor repair of rehabilitated features eroded by surface water run-off and high intensity rain-fall events.
• Revegetation campaigns to rehabilitate areas where vegetation is damaged from drought, fire, animals and/or infertile seed. 
• Weed management.
• Repair of minor subsidence due to poor backfill operations.
• Fence and signage repairs.
</t>
    </r>
    <r>
      <rPr>
        <i/>
        <sz val="10"/>
        <rFont val="Arial"/>
        <family val="2"/>
      </rPr>
      <t>Post-closure monitoring activities:</t>
    </r>
    <r>
      <rPr>
        <sz val="10"/>
        <rFont val="Arial"/>
        <family val="2"/>
      </rPr>
      <t xml:space="preserve">
• Environmental, revegetation and erosion monitoring and assessment.
• Ground and surface water monitoring and drainage assessment.
• Erosion and surface drainage assessments and inspections across all closure areas.
• Subsidence and ground movement assessments associated with underground mining.
• Engineering, geotechnical and compliance inspections and assessment, surveys and reporting on the performance of the open pits, underground openings and tailings storage facilities.
• Weed mapping and assessment surveys.
• Feral animal assessment and control.
• Independent contamination auditing and assessment.
• Satellite imagery for rehabilitation analysis and reporting purposes.
• Preparation of annual environmental reporting and monitoring reporting. requirements and data management and control.
• Mobilisation and demobilisation of the monitoring and inspection teams.
</t>
    </r>
  </si>
  <si>
    <t xml:space="preserve">An allowance for pure contingency is included in the contingency multiplier. This amount reflects the uncertainty associated with an estimate of this nature and allows for items not contemplated in the RCE tool and increases in quantities that may occur as a project definition is resolved.
</t>
  </si>
  <si>
    <t>Colour Code and example entry</t>
  </si>
  <si>
    <t>User entry. The user enters quantities (e.g. hectares, tonnes).</t>
  </si>
  <si>
    <t>User selection. The user selects from a dropdown menu such as push length or fleet size.</t>
  </si>
  <si>
    <t>Default rate.</t>
  </si>
  <si>
    <t>Alternate rate user input cell. If a User has evidence to justify the use of a site specific rate, it is entered here.</t>
  </si>
  <si>
    <t>Alternate rate with user entered rate. Will also turn this colour if zero is entered.</t>
  </si>
  <si>
    <t>Based on study X (see attached)</t>
  </si>
  <si>
    <t>User notes including justification for use of alternate rates.</t>
  </si>
  <si>
    <t>Note to user</t>
  </si>
  <si>
    <t>Department notes - information for Users.</t>
  </si>
  <si>
    <t>Calculations or text (locked to user)</t>
  </si>
  <si>
    <t>Default and Alternate Rates</t>
  </si>
  <si>
    <t xml:space="preserve">The RCE tool has Default rates for all required quantites and most of these are constructed using bottom-up first principles methods. 
A User can over-ride the Default rates by entering values to the yellow cells (see above). The User must justify the entry of Alternate rates by entering notes to an appropriate note cell and/or attaching justification to the RCE submission.
If the Alternate rate cell is left blank, the tool uses the Default rates.
If the User needs to zero out a cost, a zero can be entered to the Alternate rate cell and the tool will assume the rate is zero.
The table below shows an example of the Default rate being accepted, an alternate rate being entered, and zero rate being entered.
</t>
  </si>
  <si>
    <t>Default and User Build Rates</t>
  </si>
  <si>
    <t>In some cases the User can build up their own rate in the RCE tool. These rates are termed "User Build" and are available where there may be significant variation in rehabilitation scope, e.g. capping of tailings and demolition and rehabilitation of dams. If the User elects to construct a User Build rate, they do not use the Default rates. However, the User build sections can also be used to add various activities where the Default rate is not sufficient. For example, if there is materially larger requirement for growth media than that typically assumed (150 mm).  
The User Build tables are below the Default rate tables and are shown by selection "Show" in the filter drop-down (pictured below) on the left hand side of each sheet and  immediately below the Default tables. To re-hide the User Build rows, the User de-selects "Show" in the filter drop-down.</t>
  </si>
  <si>
    <t>Sheet Details</t>
  </si>
  <si>
    <t>Sheet Name</t>
  </si>
  <si>
    <t>Attributes, Purpose and Use</t>
  </si>
  <si>
    <t>Information sheet. Provides context for the Tool, the intent of the Tool, and how it works.</t>
  </si>
  <si>
    <t xml:space="preserve">User Input sheet. Allows user to select Yes/No boxes and include notes to check that required steps are complete. </t>
  </si>
  <si>
    <t xml:space="preserve">User Input sheet. Allows user to enter Previous Year Costs for each mining Domain type and contingency with comment on key changes since the previous submission. </t>
  </si>
  <si>
    <t xml:space="preserve">Includes Site Registration table for User entry of registration details. Includes Cost Summary table for review of total cost for each Domain, contingency, and Grand Total. </t>
  </si>
  <si>
    <t xml:space="preserve">
User Input sheet for utilities, power lines, substations, switchyards, and communications towers; tanks and pipes not associated with Beneficiation (e.g. rainwater tanks); haul roads, tracks, rail, overpasses, and laydown yards; buildings not associated with Beneficiation; waste and contaminated land; bores not associated with Exploration (e.g. groundwater monitoring wells).
</t>
  </si>
  <si>
    <t>User Input sheet for ventilation shafts, hoisting shafts, adits, drifts, and tunnels.</t>
  </si>
  <si>
    <t>User Input sheet for heap leach pads; process tanks and piping; conveyors; stackers, reclaimers, and bucket wheels; and process related buildings / structures such as Coal Handling and Preparation plants, washeries, and crushers.</t>
  </si>
  <si>
    <t>Tailings Storage Facilities</t>
  </si>
  <si>
    <t>User Input sheet for tailings storage facilities.</t>
  </si>
  <si>
    <t>Water Management Area</t>
  </si>
  <si>
    <t>User Input sheet for water storage structures (dams, ponds, basins) and water treatment including acid water and saline water.</t>
  </si>
  <si>
    <t xml:space="preserve">User Input sheet for overburden emplacement areas. </t>
  </si>
  <si>
    <t>User Input sheet for activities associated with pits including safety bunds; blasting and reshaping high walls; making safe low walls; and backfill.</t>
  </si>
  <si>
    <t>User Input sheet for actvities associated with rehabilitating surface impacts (e.g. subsidence) and removal of underground infrastructure associated with underground mines.</t>
  </si>
  <si>
    <t>User Input sheet for drillholes, tracks, laydown areas, and other activities associated with exploration.</t>
  </si>
  <si>
    <t>User Input sheet for miscellaneous items including reports and studies; contaminated land investigations and remediation plans; closure plans; rehabilitation care and maintenance; and mobilisation.</t>
  </si>
  <si>
    <t>Cost Schedule</t>
  </si>
  <si>
    <t>Lists all the Default Rates used in the tool with assumptions and use notes.</t>
  </si>
  <si>
    <t>Rates</t>
  </si>
  <si>
    <t>Lists all the underlying unit rates for labour and equipment.</t>
  </si>
  <si>
    <t>Productivity</t>
  </si>
  <si>
    <r>
      <t>Details the activities and equipment used in the User Input sheets, with associated units and values for that activity (e.g how many m</t>
    </r>
    <r>
      <rPr>
        <vertAlign val="superscript"/>
        <sz val="10"/>
        <color rgb="FF22272B"/>
        <rFont val="Public Sans Light"/>
      </rPr>
      <t>3</t>
    </r>
    <r>
      <rPr>
        <sz val="10"/>
        <color rgb="FF22272B"/>
        <rFont val="Public Sans Light"/>
      </rPr>
      <t>/h an excavator can break concrete backfill to trench and tamp (compact), or the speed of a specific Dozer in km/h).</t>
    </r>
  </si>
  <si>
    <t>Assumptions - General</t>
  </si>
  <si>
    <t>Shows the general assumptions including densities for materials; application rates for amendments; truck travel speed; default travel distances (e.g. to gypsum supplier).</t>
  </si>
  <si>
    <t>Assumptions - Capping</t>
  </si>
  <si>
    <t>Information sheet. Lists the capping thickness assumptions for Tailings Storage Facilities.</t>
  </si>
  <si>
    <t>Lists</t>
  </si>
  <si>
    <t>Functional sheet only, Users do not need to use it.</t>
  </si>
  <si>
    <t>Rate Mapping</t>
  </si>
  <si>
    <t>Compares rates in this tool to the rates in the superseded version.</t>
  </si>
  <si>
    <t>User Input sheet for general notes which could include further explanations for Alternate rates, quantities, changes since last RCE, and calculations supporting entered quantities.</t>
  </si>
  <si>
    <t>Quick Links</t>
  </si>
  <si>
    <t>Date</t>
  </si>
  <si>
    <t>Revision Number</t>
  </si>
  <si>
    <t>Revision Description</t>
  </si>
  <si>
    <t>2025-1</t>
  </si>
  <si>
    <t>N/A
(This is a new RCE Tool which replaces the previous RCE Tool dated 11.06.2024 – Revision No.2024-1).</t>
  </si>
  <si>
    <t>2025-2</t>
  </si>
  <si>
    <t xml:space="preserve">Fixed locked cell issue in user-build tables.
</t>
  </si>
  <si>
    <t>2025-3</t>
  </si>
  <si>
    <t xml:space="preserve">Changed spine drains rate to per unit area, moved small mines and quarriess mobilisation to other and sundry tab, added exploration mobe rates for greater travel distances, minor calculation and typo fixes.
</t>
  </si>
  <si>
    <t>Checklist for Lease Holders</t>
  </si>
  <si>
    <t>Please confirm you have completed the following</t>
  </si>
  <si>
    <t>Select</t>
  </si>
  <si>
    <t>Notes</t>
  </si>
  <si>
    <t>Registration Details Complete</t>
  </si>
  <si>
    <t>Yes</t>
  </si>
  <si>
    <t xml:space="preserve">
Add any note to explain.
</t>
  </si>
  <si>
    <t>Previous RCE amounts added to RCE Summary</t>
  </si>
  <si>
    <t>Have you attached information for any variation to Departmental rates (e.g. 3rd party quotes justification)</t>
  </si>
  <si>
    <t xml:space="preserve">no document attached, only rate that is different is the D&amp;B rate, using current site $/t
</t>
  </si>
  <si>
    <t>Nominated GIS locations for all items - this is an optional field that can be used by large mines to identify the location of the relevant feature at the domain level (e.g. area of tailings dam). Large mines should populate the GIS Reference field with the Object ID number of the relevant feature from the spatial data submitted to the Mine Rehabilitation Portal. Note: this is not required for small mines.</t>
  </si>
  <si>
    <t>No</t>
  </si>
  <si>
    <t>Key Changes since Last Rehabilitation Cost Estimate</t>
  </si>
  <si>
    <t>Details should be provided on changes in disturbance areas, new areas of disturbances, and rehabilitated areas. Please use Alt Enter to include a space at the beginning of the text and at the end.</t>
  </si>
  <si>
    <t>Mining Domain Type</t>
  </si>
  <si>
    <t>Current Year Cost</t>
  </si>
  <si>
    <t>Previous Year Cost (*)</t>
  </si>
  <si>
    <t>Difference</t>
  </si>
  <si>
    <t xml:space="preserve">Key changes since previous submission (for each domain or item). </t>
  </si>
  <si>
    <t>last year combined with Beneficiation plant</t>
  </si>
  <si>
    <t>under overburden</t>
  </si>
  <si>
    <t>before included in infrastructure</t>
  </si>
  <si>
    <t>exact ha for the dumps when before an estimation was used. NOE under Boral Peppertree Management and rehab bank guarantee</t>
  </si>
  <si>
    <t>Sub-total</t>
  </si>
  <si>
    <t>Other Items</t>
  </si>
  <si>
    <t>Cost</t>
  </si>
  <si>
    <t>only 2 radiation devices vs 3 last year</t>
  </si>
  <si>
    <t>Totals</t>
  </si>
  <si>
    <t>Subtotal</t>
  </si>
  <si>
    <t>Contingency includes contingency, plus post closure environmental monitoring, project management and surveying.</t>
  </si>
  <si>
    <t>Grand Total (excluding GST)</t>
  </si>
  <si>
    <t>SITE REGISTRATION</t>
  </si>
  <si>
    <t>Complete the following fields prior to calculating the Security Deposit.</t>
  </si>
  <si>
    <t>Date of Estimate</t>
  </si>
  <si>
    <t>Mine Name</t>
  </si>
  <si>
    <t>Marulan South Limestone Mine</t>
  </si>
  <si>
    <t>Lease(s):</t>
  </si>
  <si>
    <t>ML1857</t>
  </si>
  <si>
    <t>Lease Holder(s):</t>
  </si>
  <si>
    <t>Boral Cement</t>
  </si>
  <si>
    <t>Term of RCE:</t>
  </si>
  <si>
    <t>This is period of time over which the RCE amount will apply.</t>
  </si>
  <si>
    <t>Date of last Security Deposit Review:</t>
  </si>
  <si>
    <t>This is the date of the most recent correspondence from the Department advising of the assessed deposit amount.</t>
  </si>
  <si>
    <t>Amount of the last Security Deposit Review:</t>
  </si>
  <si>
    <t>This is the most recent assessed deposit amount as per the most recent correspondence from the Department (see above).</t>
  </si>
  <si>
    <t>Current Security Deposit held by the Department:</t>
  </si>
  <si>
    <t>This is the current security deposit amount held by the Department.</t>
  </si>
  <si>
    <t>List key changes since previous submission:</t>
  </si>
  <si>
    <t>used new estimation tool
updated disturbance and progress of overburden emplacement areas</t>
  </si>
  <si>
    <t>COST SUMMARY</t>
  </si>
  <si>
    <t>Comments</t>
  </si>
  <si>
    <t>Additional Items</t>
  </si>
  <si>
    <t>Subtotal - all except Exploration</t>
  </si>
  <si>
    <t>Subtotal - Exploration</t>
  </si>
  <si>
    <t>Subtotal - all</t>
  </si>
  <si>
    <t>User</t>
  </si>
  <si>
    <t>Contingency (Mining)</t>
  </si>
  <si>
    <r>
      <t xml:space="preserve">Enter reason here if contingency </t>
    </r>
    <r>
      <rPr>
        <b/>
        <sz val="10"/>
        <color rgb="FFFF0000"/>
        <rFont val="Arial"/>
        <family val="2"/>
      </rPr>
      <t>greater</t>
    </r>
    <r>
      <rPr>
        <sz val="10"/>
        <rFont val="Arial"/>
        <family val="2"/>
      </rPr>
      <t xml:space="preserve"> than default is entered</t>
    </r>
  </si>
  <si>
    <t>Contingency (Exploration only)</t>
  </si>
  <si>
    <t>Contingency Total</t>
  </si>
  <si>
    <t>Total RCE</t>
  </si>
  <si>
    <t>Infrastructure - Mine Entries</t>
  </si>
  <si>
    <t>Total cost</t>
  </si>
  <si>
    <t>Activity</t>
  </si>
  <si>
    <t>Element</t>
  </si>
  <si>
    <t>Quantity Name</t>
  </si>
  <si>
    <t>Unit   Name &gt;</t>
  </si>
  <si>
    <t>Enter shaft name</t>
  </si>
  <si>
    <t>User Notes (including justification for alternate rates)</t>
  </si>
  <si>
    <t>Department Notes</t>
  </si>
  <si>
    <t>GIS</t>
  </si>
  <si>
    <t>All shafts in the column</t>
  </si>
  <si>
    <t>GIS reference / Object ID</t>
  </si>
  <si>
    <t>This is an optional field that can be used by large mines to identify the location of the relevant feature. Large mines should populate the GIS Reference field with the Object ID number of the relevant feature from the spatial data submitted to the Mine Rehabilitation Portal. (Note: this is not required for small mines).</t>
  </si>
  <si>
    <t>Rehabilitate Ventilation Shafts</t>
  </si>
  <si>
    <t>Ventilation shafts</t>
  </si>
  <si>
    <t>Number of shafts if entering a group of shafts</t>
  </si>
  <si>
    <t>#</t>
  </si>
  <si>
    <t>Demolish and remove</t>
  </si>
  <si>
    <t>Vent fans, substation, winch</t>
  </si>
  <si>
    <t>Qty</t>
  </si>
  <si>
    <t># per shaft</t>
  </si>
  <si>
    <t>Default Rate</t>
  </si>
  <si>
    <t>$/site</t>
  </si>
  <si>
    <t>Alternate Rate</t>
  </si>
  <si>
    <t>$</t>
  </si>
  <si>
    <t>Dimensions</t>
  </si>
  <si>
    <t>Ventilation Shaft (Backfill)</t>
  </si>
  <si>
    <t>Depth</t>
  </si>
  <si>
    <t>m</t>
  </si>
  <si>
    <t>Enter average depth if entering a group into one column.</t>
  </si>
  <si>
    <t>Diameter</t>
  </si>
  <si>
    <t>Area</t>
  </si>
  <si>
    <t>m2</t>
  </si>
  <si>
    <t>Compaction factor</t>
  </si>
  <si>
    <t>X</t>
  </si>
  <si>
    <t>Shaft Volume</t>
  </si>
  <si>
    <t>m3</t>
  </si>
  <si>
    <t>Fill Mass</t>
  </si>
  <si>
    <t>t</t>
  </si>
  <si>
    <t>Proportion of fill sourced on-site</t>
  </si>
  <si>
    <t>%</t>
  </si>
  <si>
    <t>Volume of fill sourced on-site</t>
  </si>
  <si>
    <t>Volume of fill sourced off-site</t>
  </si>
  <si>
    <t>Purchase backfill</t>
  </si>
  <si>
    <t>Default rate</t>
  </si>
  <si>
    <t>$/t</t>
  </si>
  <si>
    <t>Alternate rate</t>
  </si>
  <si>
    <t>Cost to purchase backfill</t>
  </si>
  <si>
    <t>Load and haul backfill from off-site</t>
  </si>
  <si>
    <t>Distance to haul backfill</t>
  </si>
  <si>
    <t>25 to 30 km</t>
  </si>
  <si>
    <t>$/t-km</t>
  </si>
  <si>
    <t>Cost to load and haul backfill</t>
  </si>
  <si>
    <t>$/hole</t>
  </si>
  <si>
    <t>Load and haul backfill</t>
  </si>
  <si>
    <t>Fleet and distance to haul backfill on-site</t>
  </si>
  <si>
    <t>Small - Fill - &gt;2500 m to &lt;=3000 m</t>
  </si>
  <si>
    <t>Small fleet recommended</t>
  </si>
  <si>
    <t>$/m3</t>
  </si>
  <si>
    <t>Plug shaft with concrete</t>
  </si>
  <si>
    <t>Ventilation shaft (plug)</t>
  </si>
  <si>
    <t>Will shaft be plugged?</t>
  </si>
  <si>
    <t>Thickness</t>
  </si>
  <si>
    <t>Volume of concrete</t>
  </si>
  <si>
    <t>Default rate to purchase concrete</t>
  </si>
  <si>
    <t>Alternate rate to purchase concrete</t>
  </si>
  <si>
    <t>Cost to purchase concrete</t>
  </si>
  <si>
    <t>Distance to haul concrete</t>
  </si>
  <si>
    <t>40 to 45 km</t>
  </si>
  <si>
    <t>Default rate to haul concrete</t>
  </si>
  <si>
    <t>$/m3-km</t>
  </si>
  <si>
    <t>Alternate rate to haul concrete</t>
  </si>
  <si>
    <t>Cost to load and haul concrete</t>
  </si>
  <si>
    <t>Default specific area rate to plug</t>
  </si>
  <si>
    <t>$/shaft-m2</t>
  </si>
  <si>
    <t>Default rate to plug</t>
  </si>
  <si>
    <t>$/shaft</t>
  </si>
  <si>
    <t>Alternate rate to plug</t>
  </si>
  <si>
    <t>Cover with steel plate</t>
  </si>
  <si>
    <t>Ventilation shaft (cover)</t>
  </si>
  <si>
    <t>Number of steel plates per shaft</t>
  </si>
  <si>
    <t>#/shaft</t>
  </si>
  <si>
    <t>$/plate</t>
  </si>
  <si>
    <t xml:space="preserve">Seal and rehabilitate ventilation shafts on hard rock operations (no to low gas risk) or coal operations </t>
  </si>
  <si>
    <t># shafts</t>
  </si>
  <si>
    <t>Total</t>
  </si>
  <si>
    <t>$/m depth</t>
  </si>
  <si>
    <t>Rehabilitate Hoisting Shafts</t>
  </si>
  <si>
    <t>Hoisting shafts</t>
  </si>
  <si>
    <t>Hoisting shaft headframe, winder building, support infrastructure</t>
  </si>
  <si>
    <t>Backfill shaft</t>
  </si>
  <si>
    <t>Hoisting shaft (backfill)</t>
  </si>
  <si>
    <t>Hoisting shaft (plug)</t>
  </si>
  <si>
    <t>Hoisting shaft (cover)</t>
  </si>
  <si>
    <t>Will shaft be covered with steel plate?</t>
  </si>
  <si>
    <t>$/item</t>
  </si>
  <si>
    <t>Adits, Portals, Declines, Drifts</t>
  </si>
  <si>
    <t>Install gate or grill</t>
  </si>
  <si>
    <t>Small adit</t>
  </si>
  <si>
    <t># adits</t>
  </si>
  <si>
    <t>$/adit</t>
  </si>
  <si>
    <t>Seal</t>
  </si>
  <si>
    <t>Qty to seal</t>
  </si>
  <si>
    <t>Seal entry only</t>
  </si>
  <si>
    <t>Larger portals, declines, adits, drifts</t>
  </si>
  <si>
    <t># items</t>
  </si>
  <si>
    <t>Seal against bulkhead</t>
  </si>
  <si>
    <t>Drifts and Adits</t>
  </si>
  <si>
    <t>Tunnels</t>
  </si>
  <si>
    <t>Grout fill using mine works</t>
  </si>
  <si>
    <t>$/m</t>
  </si>
  <si>
    <t>Grout fill by drilling</t>
  </si>
  <si>
    <t>Tunnels and other shafts</t>
  </si>
  <si>
    <t>Source and apply growth media</t>
  </si>
  <si>
    <t>Areas</t>
  </si>
  <si>
    <t>Area 1</t>
  </si>
  <si>
    <t>ha</t>
  </si>
  <si>
    <t>Area 2</t>
  </si>
  <si>
    <t>Area 3</t>
  </si>
  <si>
    <t>Area 4</t>
  </si>
  <si>
    <t>Area total</t>
  </si>
  <si>
    <t>Thickness - default</t>
  </si>
  <si>
    <t>Thickness - used over-ride</t>
  </si>
  <si>
    <t>Thickness - used in calculations</t>
  </si>
  <si>
    <t>Volume</t>
  </si>
  <si>
    <t>Fleet and haulage distance</t>
  </si>
  <si>
    <t>Small - soil - &gt;1500 m to &lt;=2000 m</t>
  </si>
  <si>
    <t>Source and apply ameliorants</t>
  </si>
  <si>
    <t>Type</t>
  </si>
  <si>
    <t>Gypsum</t>
  </si>
  <si>
    <t>Lime</t>
  </si>
  <si>
    <t>Biosolids, MSW, Manure</t>
  </si>
  <si>
    <t>Gypsum + Biosolids</t>
  </si>
  <si>
    <t>Hay Mulch / Sugar Cane</t>
  </si>
  <si>
    <t>Fertiliser - pasture</t>
  </si>
  <si>
    <t>Fertiliser - native</t>
  </si>
  <si>
    <t>Ammonium Nitrate</t>
  </si>
  <si>
    <t>Application rate</t>
  </si>
  <si>
    <t>t/ha</t>
  </si>
  <si>
    <t>Mass</t>
  </si>
  <si>
    <t>Buy ameliorants</t>
  </si>
  <si>
    <t>Source</t>
  </si>
  <si>
    <t>Cost (buy)</t>
  </si>
  <si>
    <t>Transport</t>
  </si>
  <si>
    <t>Distance to source (one-way)</t>
  </si>
  <si>
    <t xml:space="preserve">Spreading </t>
  </si>
  <si>
    <t>$/ha</t>
  </si>
  <si>
    <t>Revegetate (rolled-up rates)</t>
  </si>
  <si>
    <t>Land</t>
  </si>
  <si>
    <t xml:space="preserve">Apply / plant seed / hydro mix </t>
  </si>
  <si>
    <t>Seed mix (buy)</t>
  </si>
  <si>
    <t>Dozer applied Pasture seed</t>
  </si>
  <si>
    <t>Handcast Pasture seed</t>
  </si>
  <si>
    <t>Dozer applied Native seed</t>
  </si>
  <si>
    <t>Handcast Native seed</t>
  </si>
  <si>
    <t>Plant Tube stock</t>
  </si>
  <si>
    <t>Plant Trees - mature</t>
  </si>
  <si>
    <t>Spray Hydromulch - BGM - pasture seed</t>
  </si>
  <si>
    <t>Spray Hydromulch - BGM - native seed</t>
  </si>
  <si>
    <t>Do not use rates below if these rates are used.</t>
  </si>
  <si>
    <t>Revegetate (user rates)</t>
  </si>
  <si>
    <t xml:space="preserve">Purchase seed / plant </t>
  </si>
  <si>
    <t>Vegetation</t>
  </si>
  <si>
    <t>Pasture seed</t>
  </si>
  <si>
    <t>Native seed</t>
  </si>
  <si>
    <t>Tube stock</t>
  </si>
  <si>
    <t>Trees - mature</t>
  </si>
  <si>
    <t>Hydromulch - BGM - pasture seed</t>
  </si>
  <si>
    <t>Hydromulch - BGM - native seed</t>
  </si>
  <si>
    <t>$/unit</t>
  </si>
  <si>
    <t>Unit</t>
  </si>
  <si>
    <t>unit/ha</t>
  </si>
  <si>
    <t>Quantity</t>
  </si>
  <si>
    <t>Apply / plant</t>
  </si>
  <si>
    <t>Method</t>
  </si>
  <si>
    <t>Dozer applied Pasture seed - apply / plant</t>
  </si>
  <si>
    <t>Handcast Pasture seed - apply / plant</t>
  </si>
  <si>
    <t>Dozer applied Native seed - apply / plant</t>
  </si>
  <si>
    <t>Handcast Native seed - apply / plant</t>
  </si>
  <si>
    <t>Plant Tube stock - apply / plant</t>
  </si>
  <si>
    <t>Plant Trees - mature - apply / plant</t>
  </si>
  <si>
    <t>Spray Hydromulch - BGM - pasture seed - apply / plant</t>
  </si>
  <si>
    <t>Spray Hydromulch - BGM - native seed - apply / plant</t>
  </si>
  <si>
    <t>For hydro-methods, mulch and binder is included in these rates.</t>
  </si>
  <si>
    <t>Fertilise - buy</t>
  </si>
  <si>
    <t>Dozer applied Pasture seed - buy fertiliser</t>
  </si>
  <si>
    <t>Handcast Pasture seed - buy fertiliser</t>
  </si>
  <si>
    <t>Dozer applied Native seed - buy fertiliser</t>
  </si>
  <si>
    <t>Handcast Native seed - buy fertiliser</t>
  </si>
  <si>
    <t>Plant Tube stock - buy fertiliser</t>
  </si>
  <si>
    <t>Plant Trees - mature - buy fertiliser</t>
  </si>
  <si>
    <t>Spray Hydromulch - BGM - pasture seed - buy fertiliser</t>
  </si>
  <si>
    <t>Spray Hydromulch - BGM - native seed - buy fertiliser</t>
  </si>
  <si>
    <t>Fertilise - apply</t>
  </si>
  <si>
    <t>Dozer applied Pasture seed - apply fertiliser</t>
  </si>
  <si>
    <t>Handcast Pasture seed - apply fertiliser</t>
  </si>
  <si>
    <t>Dozer applied Native seed - apply fertiliser</t>
  </si>
  <si>
    <t>Handcast Native seed - apply fertiliser</t>
  </si>
  <si>
    <t>Plant Tube stock - apply fertiliser</t>
  </si>
  <si>
    <t>Plant Trees - mature - apply fertiliser</t>
  </si>
  <si>
    <t>Spray Hydromulch - BGM - pasture seed - apply fertiliser</t>
  </si>
  <si>
    <t>Spray Hydromulch - BGM - native seed - apply fertiliser</t>
  </si>
  <si>
    <t>Hydro-methods, fertiliser apply cost is included in apply / plant rate.</t>
  </si>
  <si>
    <t>Water - buy</t>
  </si>
  <si>
    <t>Dozer applied Pasture seed - water</t>
  </si>
  <si>
    <t>Handcast Pasture seed - water</t>
  </si>
  <si>
    <t>Dozer applied Native seed - water</t>
  </si>
  <si>
    <t>Handcast Native seed - water</t>
  </si>
  <si>
    <t>Plant Tube stock - water</t>
  </si>
  <si>
    <t>Plant Trees - mature - water</t>
  </si>
  <si>
    <t>Spray Hydromulch - BGM - pasture seed - water</t>
  </si>
  <si>
    <t>Spray Hydromulch - BGM - native seed - water</t>
  </si>
  <si>
    <t>Allowance for water</t>
  </si>
  <si>
    <t>Water - apply</t>
  </si>
  <si>
    <t>Dozer applied Pasture seed - apply water</t>
  </si>
  <si>
    <t>Handcast Pasture seed - apply water</t>
  </si>
  <si>
    <t>Dozer applied Native seed - apply water</t>
  </si>
  <si>
    <t>Handcast Native seed - apply water</t>
  </si>
  <si>
    <t>Plant Tube stock - apply water</t>
  </si>
  <si>
    <t>Plant Trees - mature - apply water</t>
  </si>
  <si>
    <t>Spray Hydromulch - BGM - pasture seed - apply water</t>
  </si>
  <si>
    <t>Spray Hydromulch - BGM - native seed - apply water</t>
  </si>
  <si>
    <t>Hydro-methods, water is applied with mix but rates allows for water management.</t>
  </si>
  <si>
    <t>Remove and dispose / re-use fencing</t>
  </si>
  <si>
    <t>Mine</t>
  </si>
  <si>
    <t>3m high chain link security fence</t>
  </si>
  <si>
    <t>Signage on fence</t>
  </si>
  <si>
    <t>Barbed 5 strand cattle fence</t>
  </si>
  <si>
    <t>km</t>
  </si>
  <si>
    <t>$/km</t>
  </si>
  <si>
    <t xml:space="preserve">total </t>
  </si>
  <si>
    <t>Infrastructure Area</t>
  </si>
  <si>
    <t>Unit  Name&gt;</t>
  </si>
  <si>
    <t>all Infrastructure</t>
  </si>
  <si>
    <t>Enter name of Single Item or Group of Items</t>
  </si>
  <si>
    <t>Areas in each column.</t>
  </si>
  <si>
    <t>Infrastructure</t>
  </si>
  <si>
    <t>Disconnect services (all)</t>
  </si>
  <si>
    <t>Disconnect utilities - major site</t>
  </si>
  <si>
    <t>Disconnect utilities - remote site</t>
  </si>
  <si>
    <t>Remove underground utilities</t>
  </si>
  <si>
    <t>Remove fence (cyclone/wire fence)</t>
  </si>
  <si>
    <t>Haul roads restoration</t>
  </si>
  <si>
    <t>Tupe</t>
  </si>
  <si>
    <t>Haul Road with Rock Cover</t>
  </si>
  <si>
    <t>Haul Road with No Cover (Compacted Earth)</t>
  </si>
  <si>
    <t>Native</t>
  </si>
  <si>
    <t>Pasture</t>
  </si>
  <si>
    <t>Select measurement</t>
  </si>
  <si>
    <t>Quantity - total (km or ha)</t>
  </si>
  <si>
    <t>Unit below</t>
  </si>
  <si>
    <t>Unit of measure</t>
  </si>
  <si>
    <t>Tracks restoration</t>
  </si>
  <si>
    <t>Select type</t>
  </si>
  <si>
    <t>Track / Park-up with Rock / Gravel / Bitumen Cover</t>
  </si>
  <si>
    <t>Track / Park-up with No Cover (Compacted Earth)</t>
  </si>
  <si>
    <t>Track / Park-up with Minimal Work,windrows, No vegetation</t>
  </si>
  <si>
    <t>Select land type</t>
  </si>
  <si>
    <t>Arid</t>
  </si>
  <si>
    <t>Length</t>
  </si>
  <si>
    <t>Quantity - total (of km or ha)</t>
  </si>
  <si>
    <t>Default Rate by length</t>
  </si>
  <si>
    <t>Alternate Rate by length</t>
  </si>
  <si>
    <t>Laydown restoration</t>
  </si>
  <si>
    <t>Laydown with No Cover (Compacted Earth) in Native</t>
  </si>
  <si>
    <t>Laydown with Minimal Work, No vegetation in Pasture</t>
  </si>
  <si>
    <t>Airstrip restoration</t>
  </si>
  <si>
    <t>Airstrip with no cover</t>
  </si>
  <si>
    <t>Concrete pads and footings (not associated with buildings, tanks, etc)</t>
  </si>
  <si>
    <t>Thickness category</t>
  </si>
  <si>
    <t>Concrete Pads and Footings (&lt;= 0.3 m thick)</t>
  </si>
  <si>
    <t>Concrete Pads and Footings (&gt;0.3 m thick)</t>
  </si>
  <si>
    <t>$/m2</t>
  </si>
  <si>
    <t>Tracks, Roads, Laydown, Airstrip, Concrete pads</t>
  </si>
  <si>
    <t xml:space="preserve">Demolish and remove buildings </t>
  </si>
  <si>
    <t>Small, Brick wall, Steel roof, Concrete floor, footprint 50m2</t>
  </si>
  <si>
    <t>Portable, Skid mounted - by area</t>
  </si>
  <si>
    <t>Large, Steel wall, Steel roof, Concrete floor, footprint 900m2</t>
  </si>
  <si>
    <t>Control room (small), None wall, None roof, None floor,  floors</t>
  </si>
  <si>
    <t>Amenities room (small)</t>
  </si>
  <si>
    <t>Portable, Skid mounted</t>
  </si>
  <si>
    <t>Switchroom, None wall, None roof, Concrete floor, 1 floors</t>
  </si>
  <si>
    <t>Quantity of shown unit</t>
  </si>
  <si>
    <t>$/shown unit</t>
  </si>
  <si>
    <t>Demolish and remove buildings</t>
  </si>
  <si>
    <t>Large, Brick wall, Steel roof, Concrete floor, footprint 2000m2</t>
  </si>
  <si>
    <t>Decommission, demolish, remove tanks and vessels</t>
  </si>
  <si>
    <t>Type of tank or vessel</t>
  </si>
  <si>
    <t>Rainwater, Plastic</t>
  </si>
  <si>
    <t>Vertical tank, Steel wall, Steel roof, Steel floor, Unlined, Single skin, 500, kL</t>
  </si>
  <si>
    <t>Galvanised - small, Steel wall</t>
  </si>
  <si>
    <t># tanks</t>
  </si>
  <si>
    <t>$/tank</t>
  </si>
  <si>
    <t>Pipe decommissioning and removal</t>
  </si>
  <si>
    <t>Type of pipe</t>
  </si>
  <si>
    <t>Remove Buried Plastic Pipeline &lt;=0.3m</t>
  </si>
  <si>
    <t>Remove Above ground Plastic Pipeline &lt;=0.3m. Unsupported</t>
  </si>
  <si>
    <t>Leave in place Buried Plastic Pipeline &lt;=0.3m</t>
  </si>
  <si>
    <t>Leave in place Buried Plastic Pipeline &gt;0.3 &lt;=0.5m</t>
  </si>
  <si>
    <t>Leave in place Buried Plastic Pipeline &gt;0.5 &lt;=1m</t>
  </si>
  <si>
    <t>Remove Above ground Plastic Pipeline &lt;=0.3m. Supported</t>
  </si>
  <si>
    <t>Remove Above ground Plastic Pipeline &gt;0.3 &lt;=0.5m. Supported</t>
  </si>
  <si>
    <t>Length total</t>
  </si>
  <si>
    <t xml:space="preserve">Remove cable tray </t>
  </si>
  <si>
    <t>not associated with buildings, tanks, and other items</t>
  </si>
  <si>
    <t>Pipelines and cable tray (not associated with processing)</t>
  </si>
  <si>
    <t>Power Poles</t>
  </si>
  <si>
    <t>Medium voltage overhead power - 11 kV</t>
  </si>
  <si>
    <t>High voltage overhead power - 132 kV</t>
  </si>
  <si>
    <t>Substations</t>
  </si>
  <si>
    <t>Small substation of footprint 1000m2</t>
  </si>
  <si>
    <t>Medium substation of footprint 2500m2</t>
  </si>
  <si>
    <t>Communications towers</t>
  </si>
  <si>
    <t>towers</t>
  </si>
  <si>
    <t>$/tower</t>
  </si>
  <si>
    <t>Power and Communications</t>
  </si>
  <si>
    <t>Overpasses</t>
  </si>
  <si>
    <t>Overpass - small road or rail of footprint 250m2</t>
  </si>
  <si>
    <t>Overpass - medium road or rail of footprint 500m2</t>
  </si>
  <si>
    <t>Overpass - large road or rail of footprint 2000m2</t>
  </si>
  <si>
    <t>Number</t>
  </si>
  <si>
    <t>Rail facilities</t>
  </si>
  <si>
    <t>Rail Line</t>
  </si>
  <si>
    <t>Rail loading</t>
  </si>
  <si>
    <t>Unit above</t>
  </si>
  <si>
    <t>Crush concrete if required for spreading</t>
  </si>
  <si>
    <t>Size</t>
  </si>
  <si>
    <t xml:space="preserve">Concrete crush to 50mm </t>
  </si>
  <si>
    <t xml:space="preserve">Concrete crush to 30mm </t>
  </si>
  <si>
    <t>Construct drains</t>
  </si>
  <si>
    <t>Major Drains and Drop Structure</t>
  </si>
  <si>
    <t>Select drain width</t>
  </si>
  <si>
    <t>Drains of 4 m width</t>
  </si>
  <si>
    <t>Drains of 6 m width</t>
  </si>
  <si>
    <t>Drains of 8 m width</t>
  </si>
  <si>
    <t>Drains of 10 m width</t>
  </si>
  <si>
    <t xml:space="preserve">
Construction of spine drains / drop structures and/or stabilising water course entry points
</t>
  </si>
  <si>
    <t xml:space="preserve">
Structural works, banks, waterways - contour banks, drainage channels and other soil conservation measures
</t>
  </si>
  <si>
    <t>Create cut-through to re-establish natural water courses/drainage channels following subsidence</t>
  </si>
  <si>
    <t>Water management</t>
  </si>
  <si>
    <t>Earthworks On Structure</t>
  </si>
  <si>
    <t>Drains and Water Management (specific to Infrastructure areas and not included in other domains)</t>
  </si>
  <si>
    <t>Decommission bores</t>
  </si>
  <si>
    <t>Boreholes – grout  andcap and seal bore holes</t>
  </si>
  <si>
    <t xml:space="preserve">Boreholes – cap and seal with steel casing </t>
  </si>
  <si>
    <t>Boreholes – cap and seal service boreholes for UG coal operations</t>
  </si>
  <si>
    <t>$/bore</t>
  </si>
  <si>
    <t>Bores (e.g. groundwater monitoring, service bores, excludes Exploration bores).</t>
  </si>
  <si>
    <t>Decommission and dispose of flares</t>
  </si>
  <si>
    <t>$/flare</t>
  </si>
  <si>
    <t>Show</t>
  </si>
  <si>
    <t>Maintenance of Rehabilitated Areas and Repairs</t>
  </si>
  <si>
    <t>Maintenance of areas that are shaped and seeded and revegetation has been successful</t>
  </si>
  <si>
    <t>Existing rehabilitation repair - moderate</t>
  </si>
  <si>
    <t>Existing rehabilitation repair - major</t>
  </si>
  <si>
    <t>Existing rehabilitation repair - total failure of landform</t>
  </si>
  <si>
    <t>Volume from local (on-site) supply</t>
  </si>
  <si>
    <t>Volume from local (off-site) supply</t>
  </si>
  <si>
    <t>Source and apply</t>
  </si>
  <si>
    <t>Off-site source</t>
  </si>
  <si>
    <t>Distance for off-site source</t>
  </si>
  <si>
    <t>&lt; 5 km</t>
  </si>
  <si>
    <t>15 to 20 km</t>
  </si>
  <si>
    <t>Default rate for cart off-site source</t>
  </si>
  <si>
    <t>Alternate rate for cart off-site source</t>
  </si>
  <si>
    <t>Cost to cart on-site source</t>
  </si>
  <si>
    <t>Growth media</t>
  </si>
  <si>
    <t>VENM backfill</t>
  </si>
  <si>
    <t>Default rate for purchase off-site source</t>
  </si>
  <si>
    <t>Alternate rate for purchase off-site source</t>
  </si>
  <si>
    <t>On-site spreading</t>
  </si>
  <si>
    <t>Fleet and distance for load and haul of growth media</t>
  </si>
  <si>
    <t>Small - soil - &gt;2500 m to &lt;=3000 m</t>
  </si>
  <si>
    <t>Buy material</t>
  </si>
  <si>
    <t>Load and haul material</t>
  </si>
  <si>
    <t>Fleet and distance for load and haul of ameliorants</t>
  </si>
  <si>
    <t>30 to 35 km</t>
  </si>
  <si>
    <t>Revegetate</t>
  </si>
  <si>
    <t>Spray Hydroseeding - native seed</t>
  </si>
  <si>
    <t>Spray Hydroseeding - pasture seed</t>
  </si>
  <si>
    <t>Dispose of Waste</t>
  </si>
  <si>
    <t>Asbestos from buildings</t>
  </si>
  <si>
    <t>Hazardous waste</t>
  </si>
  <si>
    <t>Restricted solid waste</t>
  </si>
  <si>
    <t>Low level solid waste</t>
  </si>
  <si>
    <t>Oily/water disposal</t>
  </si>
  <si>
    <t>Asbestos from pipe</t>
  </si>
  <si>
    <t>Plastic liner disposal</t>
  </si>
  <si>
    <t>of unit below</t>
  </si>
  <si>
    <t>Calculated disposal quantity</t>
  </si>
  <si>
    <t>t or kL</t>
  </si>
  <si>
    <t>User overide disposal quantity</t>
  </si>
  <si>
    <t>Disposal quantity used in calculations</t>
  </si>
  <si>
    <t>Load and Haul</t>
  </si>
  <si>
    <t>20 to 25 km</t>
  </si>
  <si>
    <t>35 to 40 km</t>
  </si>
  <si>
    <t>Distance (average)</t>
  </si>
  <si>
    <t>Product - unit / distance</t>
  </si>
  <si>
    <t>Qty-km</t>
  </si>
  <si>
    <t>$/qty-km</t>
  </si>
  <si>
    <t>Gate fee</t>
  </si>
  <si>
    <t>$/t or kL</t>
  </si>
  <si>
    <t>Levy</t>
  </si>
  <si>
    <t>Standard levy - regional</t>
  </si>
  <si>
    <t>No levy</t>
  </si>
  <si>
    <t>Standard levy - metropolitan</t>
  </si>
  <si>
    <t>Contaminated soil treat on-site</t>
  </si>
  <si>
    <t>biopile</t>
  </si>
  <si>
    <t>Volume of impacted soil</t>
  </si>
  <si>
    <t xml:space="preserve">Unit </t>
  </si>
  <si>
    <t xml:space="preserve">$/Unit </t>
  </si>
  <si>
    <t>Others</t>
  </si>
  <si>
    <t>Acid Sulphate Soil</t>
  </si>
  <si>
    <t>PAHs and other persistent organic pollutants</t>
  </si>
  <si>
    <t>Remove material</t>
  </si>
  <si>
    <t>Footprint of roads, tracks, laydown, parking</t>
  </si>
  <si>
    <t>Small -stabilised - &gt;200 m to &lt;=500 m</t>
  </si>
  <si>
    <t>Including carbonaceous / metalliferous spillage, dump in a void on-site.</t>
  </si>
  <si>
    <t>&lt; Select "Show" if you wish to use the User Build Table. If quantities were entered to the defaults table column above, quantities should not be entered to the user build.</t>
  </si>
  <si>
    <t>The table directly below is for user build rates. If quantities were entered to the defaults table column above, quantities for the same activities should not be entered to the user build . Use the "+" button to show the user build table.</t>
  </si>
  <si>
    <t>Haul Road (user build)</t>
  </si>
  <si>
    <t>Dimension</t>
  </si>
  <si>
    <t>Area - total of all</t>
  </si>
  <si>
    <t>Remove cover</t>
  </si>
  <si>
    <t>Surface of haul road</t>
  </si>
  <si>
    <t>Surface cover type</t>
  </si>
  <si>
    <t>Rock</t>
  </si>
  <si>
    <t>Earthen</t>
  </si>
  <si>
    <t>Gravel</t>
  </si>
  <si>
    <t>Thickness of cover</t>
  </si>
  <si>
    <t>mm</t>
  </si>
  <si>
    <t>Fleet size and haulage distance</t>
  </si>
  <si>
    <t>Small - Fill - &gt;1500 m to &lt;=2000 m</t>
  </si>
  <si>
    <t>Load and haul rock</t>
  </si>
  <si>
    <t>Haul road</t>
  </si>
  <si>
    <t>Ripping</t>
  </si>
  <si>
    <t>Fleet size</t>
  </si>
  <si>
    <t xml:space="preserve">Grader 16G,H,M </t>
  </si>
  <si>
    <t xml:space="preserve">Grader 14G,H,M </t>
  </si>
  <si>
    <t>Decompress</t>
  </si>
  <si>
    <t>Area (suggested)</t>
  </si>
  <si>
    <t>Area (user over-ride)</t>
  </si>
  <si>
    <t>Area (used in calculations)</t>
  </si>
  <si>
    <t>Fleet</t>
  </si>
  <si>
    <t>Dozer D8R</t>
  </si>
  <si>
    <t>Trim</t>
  </si>
  <si>
    <t>Note: for the user entered columns, growth media and seed are not included in this total)</t>
  </si>
  <si>
    <t>$/road</t>
  </si>
  <si>
    <t>Track / Park-up (user build)</t>
  </si>
  <si>
    <t>Surface of track</t>
  </si>
  <si>
    <t>Bitumen</t>
  </si>
  <si>
    <t>Haulage distance</t>
  </si>
  <si>
    <t>Small - Fill - &gt;1000 m to &lt;=1500 m</t>
  </si>
  <si>
    <t>Track</t>
  </si>
  <si>
    <t>Grader 12M</t>
  </si>
  <si>
    <t>Laydown Areas (user build)</t>
  </si>
  <si>
    <t>Surface of laydown</t>
  </si>
  <si>
    <t>Small - Fill - &gt;3000 m to &lt;=4000 m</t>
  </si>
  <si>
    <t>Laydown(s)</t>
  </si>
  <si>
    <t>Rate used in Calculations</t>
  </si>
  <si>
    <t>Construct bund</t>
  </si>
  <si>
    <t>$/area</t>
  </si>
  <si>
    <t>Growth media for haul roads (user build)</t>
  </si>
  <si>
    <t>Growth media for tracks (user build)</t>
  </si>
  <si>
    <t>Growth media for laydown areas (user build)</t>
  </si>
  <si>
    <t>Growth media on all areas</t>
  </si>
  <si>
    <t>Area of all areas</t>
  </si>
  <si>
    <t>Ameliorants for haul roads (user build)</t>
  </si>
  <si>
    <t>Ameliorants for tracks (user build)</t>
  </si>
  <si>
    <t>Ameliorants for laydown areas (user build)</t>
  </si>
  <si>
    <t>Ameliorants for all area</t>
  </si>
  <si>
    <t>50 to 60 km</t>
  </si>
  <si>
    <t>10 to 15 km</t>
  </si>
  <si>
    <t>Ameliorants</t>
  </si>
  <si>
    <t>Revegetation for haul roads (user build)</t>
  </si>
  <si>
    <t>Revegetation for tracks (user build)</t>
  </si>
  <si>
    <t>Revegetation for laydown areas (user build)</t>
  </si>
  <si>
    <t xml:space="preserve">Revegetate </t>
  </si>
  <si>
    <t>Hydroseeding - pasture seed</t>
  </si>
  <si>
    <t>Hydroseeding - native seed</t>
  </si>
  <si>
    <t>units</t>
  </si>
  <si>
    <t>Spray Hydroseeding - pasture seed - apply / plant</t>
  </si>
  <si>
    <t>Spray Hydroseeding - native seed - apply / plant</t>
  </si>
  <si>
    <t>Spray Hydroseeding - pasture seed - buy fertiliser</t>
  </si>
  <si>
    <t>Spray Hydroseeding - native seed - buy fertiliser</t>
  </si>
  <si>
    <t>Spray Hydroseeding - pasture seed - apply fertiliser</t>
  </si>
  <si>
    <t>Spray Hydroseeding - native seed - apply fertiliser</t>
  </si>
  <si>
    <t>Spray Hydroseeding - native seed - water</t>
  </si>
  <si>
    <t>Spray Hydroseeding - pasture seed - apply water</t>
  </si>
  <si>
    <t>Spray Hydroseeding - native seed - apply water</t>
  </si>
  <si>
    <t>Water Supply / Monitoring / Exploration Bores - Grout - User Build</t>
  </si>
  <si>
    <t>Borehole</t>
  </si>
  <si>
    <t>Average depth</t>
  </si>
  <si>
    <t>Grout loss</t>
  </si>
  <si>
    <t xml:space="preserve">Volume </t>
  </si>
  <si>
    <t>m3/hole</t>
  </si>
  <si>
    <t>Time to fill hole</t>
  </si>
  <si>
    <t>h/hole</t>
  </si>
  <si>
    <t>Set-up</t>
  </si>
  <si>
    <t>Total time</t>
  </si>
  <si>
    <t>Default rate - drill costs</t>
  </si>
  <si>
    <t>$/h</t>
  </si>
  <si>
    <t>Alternate rate - drill costs</t>
  </si>
  <si>
    <t>Drill costs</t>
  </si>
  <si>
    <t>Default rate - grout costs</t>
  </si>
  <si>
    <t>Alternate rate - grout costs</t>
  </si>
  <si>
    <t>Grout costs</t>
  </si>
  <si>
    <t>Beneficiation Facility</t>
  </si>
  <si>
    <t xml:space="preserve">Total cost </t>
  </si>
  <si>
    <t>For each column, the user enters quantities to either this table or the user build table below.  Quantities should not be entered to both. The table directly below is default rates.</t>
  </si>
  <si>
    <t>plant</t>
  </si>
  <si>
    <t>plant 1</t>
  </si>
  <si>
    <t>Plant 2</t>
  </si>
  <si>
    <t>Enter Name</t>
  </si>
  <si>
    <t>All items in column</t>
  </si>
  <si>
    <t>PLant</t>
  </si>
  <si>
    <t>Heap leach Pads (Default rates)</t>
  </si>
  <si>
    <t>Risk category</t>
  </si>
  <si>
    <t>Risk Level</t>
  </si>
  <si>
    <t>HLP Default - High risk</t>
  </si>
  <si>
    <t>HLP Default - Medium risk</t>
  </si>
  <si>
    <t>HLP Default - Very Low risk</t>
  </si>
  <si>
    <t>Footprint</t>
  </si>
  <si>
    <t>Tanks and vessels</t>
  </si>
  <si>
    <t>Silo, Steel wall, Steel roof, Steel floor, Not lined, Single skin, 1250t</t>
  </si>
  <si>
    <t>Thickening, Steel, Open top, Steel floor, Not lined, Single skin, 500kL</t>
  </si>
  <si>
    <t>Silo, Steel wall, Steel roof, Steel floor, Not lined, Single skin, 5000t</t>
  </si>
  <si>
    <t>Horizontal, Steel, Buried, Single skin, &gt;5kL and &lt;= 20kL</t>
  </si>
  <si>
    <t>Rail loading bin, Steel wall, Steel roof, Steel floor, Not lined, Single skin, 3000t</t>
  </si>
  <si>
    <t>Thickening, Steel, Open top, Steel floor, Not lined, Single skin, 100kL</t>
  </si>
  <si>
    <t>Thickening, Steel, Open top, Steel floor, Not lined, Single skin, 1000kL</t>
  </si>
  <si>
    <t>Decommission, demolish, remove transfer and loading equipment</t>
  </si>
  <si>
    <t>Stacker / Reclaimer / Bucket Wheel</t>
  </si>
  <si>
    <t>Stacker / Reclaimer</t>
  </si>
  <si>
    <t>Bucket Wheel</t>
  </si>
  <si>
    <t>Rail for stacker / reclaimer</t>
  </si>
  <si>
    <t>Conveyors</t>
  </si>
  <si>
    <t>Conveyor on-ground</t>
  </si>
  <si>
    <t>Conveyor elevated</t>
  </si>
  <si>
    <t>Demolish Reclaim Tunnel</t>
  </si>
  <si>
    <t>Conveyor reclaim</t>
  </si>
  <si>
    <t>Vent fans</t>
  </si>
  <si>
    <t>Light Industrial footprint 100m2</t>
  </si>
  <si>
    <t>Industrial footprint 250m2</t>
  </si>
  <si>
    <t>CHPP / process building footprint 2000m2</t>
  </si>
  <si>
    <t>Washery, crusher, mills footprint 2000m2</t>
  </si>
  <si>
    <t>Quantity of shown unit (total)</t>
  </si>
  <si>
    <t>Number of tracks in group</t>
  </si>
  <si>
    <t>Decommission and remove pipes</t>
  </si>
  <si>
    <t>Remove Above ground Steel Pipeline &gt;0.1 &lt;=0.25m, Supported</t>
  </si>
  <si>
    <t>Remove Above ground Steel Pipeline &gt;0.1 &lt;=0.25m, Unsupported</t>
  </si>
  <si>
    <t>Reshape and Trim Land</t>
  </si>
  <si>
    <t>Dozer and angle for armour shaping</t>
  </si>
  <si>
    <t>Dozer D6R &gt;14&lt;=17.5 degrees</t>
  </si>
  <si>
    <t>Dozer D6R &gt;5.7&lt;=8.5 degrees</t>
  </si>
  <si>
    <t>Grader</t>
  </si>
  <si>
    <t>Ameliorants  for all beneficiation areas</t>
  </si>
  <si>
    <t>Vegetate</t>
  </si>
  <si>
    <t>Maintain Rehabilitated Areas and Repairs</t>
  </si>
  <si>
    <t>Land management of undisturbed areas</t>
  </si>
  <si>
    <t>Existing rehabilitation repair - minor</t>
  </si>
  <si>
    <t>Waste Disposal</t>
  </si>
  <si>
    <t>Concrete rubble debris disposal</t>
  </si>
  <si>
    <t>Steel disposal</t>
  </si>
  <si>
    <t>Oil disposal</t>
  </si>
  <si>
    <t>Asbestos in soil</t>
  </si>
  <si>
    <t>Biopile</t>
  </si>
  <si>
    <t>Footprint of the process facility (leach pads)</t>
  </si>
  <si>
    <t>User enter</t>
  </si>
  <si>
    <t>Heap Leach Pad (User Build)</t>
  </si>
  <si>
    <t>High</t>
  </si>
  <si>
    <t>Very Low</t>
  </si>
  <si>
    <t>Reference</t>
  </si>
  <si>
    <t>Rock cover load, haul, place</t>
  </si>
  <si>
    <t>Ramps</t>
  </si>
  <si>
    <t>Rock cover load, haul, place for ramps</t>
  </si>
  <si>
    <t>Thickness (default)</t>
  </si>
  <si>
    <t>Thickness (user over-ride)</t>
  </si>
  <si>
    <t>Thickness (used in calculations)</t>
  </si>
  <si>
    <t>Fleet and distance for load and haul of rock cover</t>
  </si>
  <si>
    <t>Medium - Fill - &gt;2500 m to &lt;=3000 m</t>
  </si>
  <si>
    <t>Rock cover reshape - dozer push</t>
  </si>
  <si>
    <t>Dozer and push length</t>
  </si>
  <si>
    <t>Dozer D10T - &gt; 50m to &lt;= 75m push</t>
  </si>
  <si>
    <t>Rock cover reshape - reshape</t>
  </si>
  <si>
    <t xml:space="preserve">Construct working layer </t>
  </si>
  <si>
    <t>Working layer</t>
  </si>
  <si>
    <t>Shape</t>
  </si>
  <si>
    <t>Dozer to stockpile default rate</t>
  </si>
  <si>
    <t>Dozer to stockpile alternate rate</t>
  </si>
  <si>
    <t>Dozer to stockpile cost</t>
  </si>
  <si>
    <t>Load and haul</t>
  </si>
  <si>
    <t>Layer trim - dozer push</t>
  </si>
  <si>
    <t>Dozer and push length for working layer trim</t>
  </si>
  <si>
    <t>Dozer D10T - &lt;= 20m push</t>
  </si>
  <si>
    <t>Dozer D9R - &gt; 20m to &lt;= 50m push</t>
  </si>
  <si>
    <t>Construct capillary break</t>
  </si>
  <si>
    <t>Capillary break</t>
  </si>
  <si>
    <t>Stockpile material</t>
  </si>
  <si>
    <t>Dozer to push and rip up clay cost</t>
  </si>
  <si>
    <t>Screening of material</t>
  </si>
  <si>
    <t>Fleet and distance for load and haul of capillary break materials</t>
  </si>
  <si>
    <t>Level material</t>
  </si>
  <si>
    <t>Construct low permeability layers</t>
  </si>
  <si>
    <t>Low permeability layer</t>
  </si>
  <si>
    <t>Source clay</t>
  </si>
  <si>
    <t>Borrow pit or off-site source of supply</t>
  </si>
  <si>
    <t>Off-site</t>
  </si>
  <si>
    <t>Borrow Pit</t>
  </si>
  <si>
    <t>Source, condition, compact</t>
  </si>
  <si>
    <t>Borrow pit source</t>
  </si>
  <si>
    <t>Dozer to push and rip up clay default rate</t>
  </si>
  <si>
    <t>Dozer to push and rip up clay alternate rate</t>
  </si>
  <si>
    <t>Push and rip clay from source</t>
  </si>
  <si>
    <t>Fleet and distance for load and haul of clay</t>
  </si>
  <si>
    <t>Load and haul clay default rate</t>
  </si>
  <si>
    <t>Load and haul clay alternate rate</t>
  </si>
  <si>
    <t>Purchase clay</t>
  </si>
  <si>
    <t>Purchase clay default rate</t>
  </si>
  <si>
    <t>Purchase clay alternate rate</t>
  </si>
  <si>
    <t>Fleet and distance for load and haul of clay from off-site source</t>
  </si>
  <si>
    <t>45 to 50 km</t>
  </si>
  <si>
    <t>Load and haul clay from off-site default rate</t>
  </si>
  <si>
    <t>Load and haul clay from off-site alternate rate</t>
  </si>
  <si>
    <t>Level surface for placement of clay</t>
  </si>
  <si>
    <t>Shape surface for drainage</t>
  </si>
  <si>
    <t>Place layers (4 layers)</t>
  </si>
  <si>
    <t>Compact layers</t>
  </si>
  <si>
    <t>Compaction default rate</t>
  </si>
  <si>
    <t>Compaction alternate rate</t>
  </si>
  <si>
    <t>Place top rock cover</t>
  </si>
  <si>
    <t>Top rock cover</t>
  </si>
  <si>
    <t>If error shade is shown, the total footprint area is less than the embankment area</t>
  </si>
  <si>
    <t>Load, haul, place</t>
  </si>
  <si>
    <t>Small -stabilised - &gt;2500 m to &lt;=3000 m</t>
  </si>
  <si>
    <t>Level and shape</t>
  </si>
  <si>
    <t>Dozer for levelling and shaping rock cover</t>
  </si>
  <si>
    <t>Dozer D10T 0 degrees</t>
  </si>
  <si>
    <t>Source and apply additional capping</t>
  </si>
  <si>
    <t>Geotextile</t>
  </si>
  <si>
    <t>Geosynthetic</t>
  </si>
  <si>
    <t>Geomembrane</t>
  </si>
  <si>
    <t>Geo-layers</t>
  </si>
  <si>
    <t>Rate</t>
  </si>
  <si>
    <t>Spray Hydroseeding - pasture seed - water</t>
  </si>
  <si>
    <t>Permeability testing</t>
  </si>
  <si>
    <t>Test points</t>
  </si>
  <si>
    <t>Testing points</t>
  </si>
  <si>
    <t>points/ha</t>
  </si>
  <si>
    <t>Total number</t>
  </si>
  <si>
    <t>Engineering</t>
  </si>
  <si>
    <t>Project</t>
  </si>
  <si>
    <t>per hectare (user)</t>
  </si>
  <si>
    <t>per hectare (default)</t>
  </si>
  <si>
    <t>Tailings Storage Facilities (default rates)</t>
  </si>
  <si>
    <t>Tailings Default - Difficult (e.g. inpit) risk</t>
  </si>
  <si>
    <t>Tailings Default - High risk</t>
  </si>
  <si>
    <t>Tailings Default - Medium risk</t>
  </si>
  <si>
    <t>Tailings Default - Low risk</t>
  </si>
  <si>
    <t>Tailings Default - Very Low risk</t>
  </si>
  <si>
    <t>Embankment</t>
  </si>
  <si>
    <t>Growth Media - source from off-site (adjustment)</t>
  </si>
  <si>
    <t>Calculated volume at defaults</t>
  </si>
  <si>
    <t>Calculated volume from off-site at defaults</t>
  </si>
  <si>
    <t>Cost of off-site growth media at defaults</t>
  </si>
  <si>
    <t>User over-ride volume from off-site</t>
  </si>
  <si>
    <t>Leave blank or enter same volume as calculated if accepting the default.  Enter zero if no growth media is from off-site.</t>
  </si>
  <si>
    <t>Difference between default and user</t>
  </si>
  <si>
    <t>User over-ride cost from off-site</t>
  </si>
  <si>
    <t>Cost adjustment for off-site source</t>
  </si>
  <si>
    <t>Clay Cap - source from off-site (adjustment)</t>
  </si>
  <si>
    <t>Clay for low permeability layer</t>
  </si>
  <si>
    <t>User volume from off-site</t>
  </si>
  <si>
    <t>The default assumes clay is sourced on-site.  If clay must be sourced from off-site, the user</t>
  </si>
  <si>
    <t>must add a volume.</t>
  </si>
  <si>
    <t xml:space="preserve">"Quantities added to both tables" is shown if user has entered quantities to Default and User Build table.  </t>
  </si>
  <si>
    <t xml:space="preserve">The table directly below is for user build rates. </t>
  </si>
  <si>
    <t>Tailings Storage Facilities (user-build)</t>
  </si>
  <si>
    <t>Difficult (e.g. inpit)</t>
  </si>
  <si>
    <t>Low</t>
  </si>
  <si>
    <t>Cover embankments and ramps with rock</t>
  </si>
  <si>
    <t>Leave blank if accepting the default or enter same thickness as default.</t>
  </si>
  <si>
    <t>Prepare embankment</t>
  </si>
  <si>
    <t>Dozer for ripping</t>
  </si>
  <si>
    <t>Dozer D6R</t>
  </si>
  <si>
    <t>Reshape embankment</t>
  </si>
  <si>
    <t>Dozer and slope angle for shape and doze to establish drainage</t>
  </si>
  <si>
    <t>Profile embankment</t>
  </si>
  <si>
    <t>Dozer and push length embankment profile</t>
  </si>
  <si>
    <t>Dozer D6R &gt; 20m to &lt;= 50m push</t>
  </si>
  <si>
    <t>Embankment and ramps</t>
  </si>
  <si>
    <t>Dozer and push length for rock cover shaping</t>
  </si>
  <si>
    <t>Dozer D6R - &gt; 50m to &lt;= 75m push</t>
  </si>
  <si>
    <t>Small - Fill - &gt;5000 m to &lt;=6000 m</t>
  </si>
  <si>
    <t>Dozer D6R - &lt;= 20m push</t>
  </si>
  <si>
    <t>Unit rate</t>
  </si>
  <si>
    <t>Dozer D6R 0 degrees</t>
  </si>
  <si>
    <t>Geofabric</t>
  </si>
  <si>
    <t>Additional rock</t>
  </si>
  <si>
    <t>Small -stabilised - &gt;500 m to &lt;=1000 m</t>
  </si>
  <si>
    <t>Dozer D6R &gt;8.5&lt;=14 degrees</t>
  </si>
  <si>
    <t>Dozer D7R 0 degrees</t>
  </si>
  <si>
    <t>Source and apply growth media / fill</t>
  </si>
  <si>
    <t>Cost to cart off-site source</t>
  </si>
  <si>
    <t>Fleet and distance for load and haul</t>
  </si>
  <si>
    <t>Maintain rehabilitated areas and repairs</t>
  </si>
  <si>
    <t>Pest Management</t>
  </si>
  <si>
    <t>Defaults</t>
  </si>
  <si>
    <t>Kiln Dam</t>
  </si>
  <si>
    <t>BMD Dam</t>
  </si>
  <si>
    <t>Closed Catchement Dam</t>
  </si>
  <si>
    <t>Blue Lagoon</t>
  </si>
  <si>
    <t>Main Gully ponds</t>
  </si>
  <si>
    <t>Dams in column</t>
  </si>
  <si>
    <t>BMD dam</t>
  </si>
  <si>
    <t>Decommission and rehabilitate ponds (defaults)</t>
  </si>
  <si>
    <t>Dams selected</t>
  </si>
  <si>
    <t>Select dam</t>
  </si>
  <si>
    <t>Clean Water Retained - Small</t>
  </si>
  <si>
    <t>Dam raw Pasture &gt;50 to &lt;=100 ML</t>
  </si>
  <si>
    <t>Number of dams in category (defaults only)</t>
  </si>
  <si>
    <t>Process  water</t>
  </si>
  <si>
    <t>Dam process Arid &gt;3.5 to &lt;=7.5 ML</t>
  </si>
  <si>
    <t>Raw water dam</t>
  </si>
  <si>
    <t>Dam raw Pasture &gt;3.5 to &lt;=7.5 ML</t>
  </si>
  <si>
    <t>Evaporation dam</t>
  </si>
  <si>
    <t>Dam evaporation Native &gt;50 to &lt;=100 ML</t>
  </si>
  <si>
    <t>Refurbishment for retention</t>
  </si>
  <si>
    <t>Clean water dam</t>
  </si>
  <si>
    <t>Clean Water Retained - Large</t>
  </si>
  <si>
    <t>Remove sediment to make clean water</t>
  </si>
  <si>
    <t>Dam</t>
  </si>
  <si>
    <t>Remove sediment and haul &lt;= 1 km</t>
  </si>
  <si>
    <t>Total volume from all dams in column</t>
  </si>
  <si>
    <t>Remove pontoon</t>
  </si>
  <si>
    <t>Water Load and Transport</t>
  </si>
  <si>
    <t>Water from dams</t>
  </si>
  <si>
    <t>Distance</t>
  </si>
  <si>
    <t>$/kL-km</t>
  </si>
  <si>
    <t>Volume to transport</t>
  </si>
  <si>
    <t>kL</t>
  </si>
  <si>
    <t>Load, haul and dispose brine</t>
  </si>
  <si>
    <t>Brine from dams</t>
  </si>
  <si>
    <t>Dispose brine</t>
  </si>
  <si>
    <t>$/kL</t>
  </si>
  <si>
    <t>Volume to dispose</t>
  </si>
  <si>
    <t>Treat water</t>
  </si>
  <si>
    <t>Volume of water</t>
  </si>
  <si>
    <t>Water Treatment - Salinity</t>
  </si>
  <si>
    <t>Water Treatment - Low pH</t>
  </si>
  <si>
    <t>$/ML</t>
  </si>
  <si>
    <t>Volume to treat</t>
  </si>
  <si>
    <t>ML</t>
  </si>
  <si>
    <t>Decommission water treatment plants</t>
  </si>
  <si>
    <t>Water treatment plant (desalination)</t>
  </si>
  <si>
    <t>ML/day</t>
  </si>
  <si>
    <t>Pump / transfer water</t>
  </si>
  <si>
    <t>Water</t>
  </si>
  <si>
    <t>The table directly below is for user build rates. If quantities were entered to the defaults table column above, quantities should not be entered to the user build . Use the "+" button to show the user build table.</t>
  </si>
  <si>
    <t>Decommission and rehabilitate ponds (user build)</t>
  </si>
  <si>
    <t>Dams</t>
  </si>
  <si>
    <t>Type of Dam</t>
  </si>
  <si>
    <t>Dam raw</t>
  </si>
  <si>
    <t>Liner or no liner</t>
  </si>
  <si>
    <t>Lined</t>
  </si>
  <si>
    <t>Average capacity</t>
  </si>
  <si>
    <t>Demolish bund</t>
  </si>
  <si>
    <t>Bund wall</t>
  </si>
  <si>
    <t>Slope 1 in X</t>
  </si>
  <si>
    <t>Bund wall height above ground</t>
  </si>
  <si>
    <t>Bund width on top</t>
  </si>
  <si>
    <t>Triangle base length</t>
  </si>
  <si>
    <t>Bund width at base</t>
  </si>
  <si>
    <t>Bund wall cross sectional area</t>
  </si>
  <si>
    <t>Description</t>
  </si>
  <si>
    <t>Height from base to crest surface water level</t>
  </si>
  <si>
    <t>Base length</t>
  </si>
  <si>
    <t>Surface area at base</t>
  </si>
  <si>
    <t>Triangle length</t>
  </si>
  <si>
    <t>Crest length</t>
  </si>
  <si>
    <t>Perimeter at crest</t>
  </si>
  <si>
    <t>Surface area at crest</t>
  </si>
  <si>
    <t>Calculated volume</t>
  </si>
  <si>
    <t>Warning</t>
  </si>
  <si>
    <t>Pond calculated volume versus stated volume</t>
  </si>
  <si>
    <t>Volume check</t>
  </si>
  <si>
    <t>Remove sediment</t>
  </si>
  <si>
    <t>Pond sediments</t>
  </si>
  <si>
    <t>Fleet and distance for removal of sediment</t>
  </si>
  <si>
    <t>Medium - Fill - &gt;4000 m to &lt;=5000 m</t>
  </si>
  <si>
    <t>Small - Fill - &lt;=200 m</t>
  </si>
  <si>
    <t>Push in bunds</t>
  </si>
  <si>
    <t>Pond bunds</t>
  </si>
  <si>
    <t>Dozer push</t>
  </si>
  <si>
    <t>Dozer D8R - &lt;= 20m push</t>
  </si>
  <si>
    <t>Backfill remaining void</t>
  </si>
  <si>
    <t>Pond void</t>
  </si>
  <si>
    <t>Volume (suggested)</t>
  </si>
  <si>
    <t>Volume (user)</t>
  </si>
  <si>
    <t>Volume (used in calculations)</t>
  </si>
  <si>
    <t>Load, haul, backfill</t>
  </si>
  <si>
    <t>Medium - Fill - &gt;500 m to &lt;=1000 m</t>
  </si>
  <si>
    <t>Liner remove and dispose</t>
  </si>
  <si>
    <t>Liner</t>
  </si>
  <si>
    <t>Liner multiplier on crest</t>
  </si>
  <si>
    <t>Liner area</t>
  </si>
  <si>
    <t>Liner removal</t>
  </si>
  <si>
    <t>Liner specific mass</t>
  </si>
  <si>
    <t>t / m2</t>
  </si>
  <si>
    <t>Liner mass</t>
  </si>
  <si>
    <t>Liner transport</t>
  </si>
  <si>
    <t>Load and haul liner - distance</t>
  </si>
  <si>
    <t>200 to 250 km</t>
  </si>
  <si>
    <t>Load and haul liner - average distance</t>
  </si>
  <si>
    <t>Mass - distance quotient</t>
  </si>
  <si>
    <t>t-km</t>
  </si>
  <si>
    <t>Liner dispose</t>
  </si>
  <si>
    <t>Default rate dispose liner (gate fee)</t>
  </si>
  <si>
    <t>Alternate rate dispose liner (gate fee)</t>
  </si>
  <si>
    <t>Buffer distance around crest</t>
  </si>
  <si>
    <t>Revegetation</t>
  </si>
  <si>
    <t>per ha (user)</t>
  </si>
  <si>
    <t>Overburden Emplacement Area</t>
  </si>
  <si>
    <t>per ha (default)</t>
  </si>
  <si>
    <t>WOE</t>
  </si>
  <si>
    <t>SOE</t>
  </si>
  <si>
    <t>NOE</t>
  </si>
  <si>
    <t>Barber's creek</t>
  </si>
  <si>
    <t>Bryce's Gully</t>
  </si>
  <si>
    <t>Rail Dump</t>
  </si>
  <si>
    <t>Default Rolled-up rates</t>
  </si>
  <si>
    <t>O/B Dumps and Spoil Piles</t>
  </si>
  <si>
    <t>WRD Default - Low risk</t>
  </si>
  <si>
    <t>Growth Media Stockpiles</t>
  </si>
  <si>
    <t>WRD Default - High risk</t>
  </si>
  <si>
    <t>User Build Areas</t>
  </si>
  <si>
    <t>Reshape Growth Media Piles</t>
  </si>
  <si>
    <t>Piles</t>
  </si>
  <si>
    <t>Overburden Bulk Push</t>
  </si>
  <si>
    <t>Dozer and push length for bulk push</t>
  </si>
  <si>
    <t>Ramps remove rock cover load, haul, place</t>
  </si>
  <si>
    <t>Load, haul, prepare material</t>
  </si>
  <si>
    <t>Level</t>
  </si>
  <si>
    <t>Unit shown</t>
  </si>
  <si>
    <t xml:space="preserve">Remove material </t>
  </si>
  <si>
    <t>Stockpile area</t>
  </si>
  <si>
    <t>Small -stabilised - &gt;1500 m to &lt;=2000 m</t>
  </si>
  <si>
    <t>per hectare</t>
  </si>
  <si>
    <t>Active Mining Area (Open Cut Void)</t>
  </si>
  <si>
    <t>Unit   Name&gt;</t>
  </si>
  <si>
    <t>Main Pit</t>
  </si>
  <si>
    <t>Enter name</t>
  </si>
  <si>
    <t>All pits in column</t>
  </si>
  <si>
    <t>Void surface area</t>
  </si>
  <si>
    <t>Construct Safety Bund and Install Fencing</t>
  </si>
  <si>
    <t>Safety bund</t>
  </si>
  <si>
    <t>Specific volume</t>
  </si>
  <si>
    <t>m3/m</t>
  </si>
  <si>
    <t>Prepare surface</t>
  </si>
  <si>
    <t>Construction Method</t>
  </si>
  <si>
    <t>Haul and place</t>
  </si>
  <si>
    <t>Excavate and place</t>
  </si>
  <si>
    <t>Install fencing</t>
  </si>
  <si>
    <t>Highwall</t>
  </si>
  <si>
    <t>Open pit - cattle fence</t>
  </si>
  <si>
    <t>Install signs</t>
  </si>
  <si>
    <t>Whole pit</t>
  </si>
  <si>
    <t>Fence and signage</t>
  </si>
  <si>
    <t>Highwall and Benches Drill and Blast</t>
  </si>
  <si>
    <t>Benches</t>
  </si>
  <si>
    <t>Drill and blast</t>
  </si>
  <si>
    <t>Highwall + benches</t>
  </si>
  <si>
    <t>Bulk push</t>
  </si>
  <si>
    <t>Dozer D6R - &gt; 20m to &lt;= 50m push</t>
  </si>
  <si>
    <t>Reprofile</t>
  </si>
  <si>
    <t>Dozer and angle</t>
  </si>
  <si>
    <t>Low Wall to Make Safe</t>
  </si>
  <si>
    <t>Low wall</t>
  </si>
  <si>
    <t>Load and haul rock to construct bund</t>
  </si>
  <si>
    <t>Haulage distance (haul and place method)</t>
  </si>
  <si>
    <t>Small - Fill - &gt;500 m to &lt;=1000 m</t>
  </si>
  <si>
    <t>Open Pit and Ramps Backfill</t>
  </si>
  <si>
    <t>Pit void</t>
  </si>
  <si>
    <t>Pit + Ramps</t>
  </si>
  <si>
    <t>On-site rock</t>
  </si>
  <si>
    <t>Off-site VENM</t>
  </si>
  <si>
    <t>Proportion of on-site source</t>
  </si>
  <si>
    <t>Volume for on-site source</t>
  </si>
  <si>
    <t>Volume for off-site source</t>
  </si>
  <si>
    <t>Fleet and haulage distance for on-site source</t>
  </si>
  <si>
    <t>Medium - Fill - &gt;1000 m to &lt;=1500 m</t>
  </si>
  <si>
    <t>Default rate for on-site source</t>
  </si>
  <si>
    <t>Alternate rate for on-site source</t>
  </si>
  <si>
    <t>Cost for on-site source</t>
  </si>
  <si>
    <t>$/km-m3</t>
  </si>
  <si>
    <t>Doze and level</t>
  </si>
  <si>
    <t>Rehabilitate ramps</t>
  </si>
  <si>
    <t xml:space="preserve">Depth </t>
  </si>
  <si>
    <t>Depth - contaminated layer</t>
  </si>
  <si>
    <t>Width</t>
  </si>
  <si>
    <t>m/ramp</t>
  </si>
  <si>
    <t>Volume (contaminated)</t>
  </si>
  <si>
    <t>Push up material</t>
  </si>
  <si>
    <t>Load and haul contamination</t>
  </si>
  <si>
    <t>Load and haul fill</t>
  </si>
  <si>
    <t>Push out fill</t>
  </si>
  <si>
    <t>Construct Drainage and Manage Water</t>
  </si>
  <si>
    <t>Benches + highwall</t>
  </si>
  <si>
    <t>Pit and ramps</t>
  </si>
  <si>
    <t>Other</t>
  </si>
  <si>
    <t>All</t>
  </si>
  <si>
    <t>Revegetate land</t>
  </si>
  <si>
    <t>Additional Activities</t>
  </si>
  <si>
    <t>Underground Mining Areas</t>
  </si>
  <si>
    <t>Enter name1</t>
  </si>
  <si>
    <t>Enter name2</t>
  </si>
  <si>
    <t>Enter name3</t>
  </si>
  <si>
    <t>Enter name4</t>
  </si>
  <si>
    <t>Enter name5</t>
  </si>
  <si>
    <t>Enter name6</t>
  </si>
  <si>
    <t>Enter name7</t>
  </si>
  <si>
    <t>Enter name8</t>
  </si>
  <si>
    <t>Enter name9</t>
  </si>
  <si>
    <t>Enter name10</t>
  </si>
  <si>
    <t>Enter name11</t>
  </si>
  <si>
    <t>Enter name12</t>
  </si>
  <si>
    <t>Remove Conveyors</t>
  </si>
  <si>
    <t>Conveyors and Support Services Down Drift / Decline</t>
  </si>
  <si>
    <t>Buy</t>
  </si>
  <si>
    <t>Spread</t>
  </si>
  <si>
    <t>Subsidence Repairs (unoccupied land)</t>
  </si>
  <si>
    <t>User override disposal quantity</t>
  </si>
  <si>
    <t>Additional activities</t>
  </si>
  <si>
    <t>Exploration</t>
  </si>
  <si>
    <t>Unit           Name&gt;</t>
  </si>
  <si>
    <t>GIS Description</t>
  </si>
  <si>
    <t>Tracks restoration (defaults)</t>
  </si>
  <si>
    <t>Track / Park-up with No Cover (Compacted Earth) - Arid</t>
  </si>
  <si>
    <t>Track / Park-up with Minimal Work, No vegetation</t>
  </si>
  <si>
    <t>Restore laydown areas (default costs)</t>
  </si>
  <si>
    <t>Laydown</t>
  </si>
  <si>
    <t>Laydown with Minimal Work, No vegetation</t>
  </si>
  <si>
    <t>Laydown with No Cover (Compacted Earth) - Pasture</t>
  </si>
  <si>
    <t xml:space="preserve">Laydown with No Cover (Compacted Earth) - Native </t>
  </si>
  <si>
    <t>Laydown with No Cover (Compacted Earth) - Arid</t>
  </si>
  <si>
    <t>Restore ponds (default costs)</t>
  </si>
  <si>
    <t>Ponds</t>
  </si>
  <si>
    <t>Dam raw Pasture 0 to &lt;=1 ML</t>
  </si>
  <si>
    <t>Number of ponds</t>
  </si>
  <si>
    <t>$/pond</t>
  </si>
  <si>
    <t>Restore Boreholes and Sumps (default costs)</t>
  </si>
  <si>
    <t>Boreholes and sumps</t>
  </si>
  <si>
    <t xml:space="preserve">Mineral exploration drill hole - grout and cap
</t>
  </si>
  <si>
    <t>Coal exploration boreholes - grout and cap and rehabilitate pad</t>
  </si>
  <si>
    <t>Mineral exploration drill hole by RAB and aircore - backfill</t>
  </si>
  <si>
    <t xml:space="preserve">Mineral exploration drill hole by diamond core -  seal and rehabilitate land
</t>
  </si>
  <si>
    <t>Mineral exploration drill hole collars - rehabilitation</t>
  </si>
  <si>
    <t>Waste</t>
  </si>
  <si>
    <t xml:space="preserve">Rehabilitate Land </t>
  </si>
  <si>
    <t>Land restoration</t>
  </si>
  <si>
    <t>Tracks and Park-up - User Build</t>
  </si>
  <si>
    <t xml:space="preserve"> Note: for the user entered columns, growth media and seed are not included in this total.</t>
  </si>
  <si>
    <t>Laydown Areas (user-build)</t>
  </si>
  <si>
    <t xml:space="preserve"> Note: for the user entered columns, growth media and seed are not included in this total)</t>
  </si>
  <si>
    <t>Source and Apply Growth media</t>
  </si>
  <si>
    <t>Area for growth media for tracks</t>
  </si>
  <si>
    <t>Area for growth media for laydown areas</t>
  </si>
  <si>
    <t>Area of growth media for all</t>
  </si>
  <si>
    <t>Load and haul growth media</t>
  </si>
  <si>
    <t>Source and Apply Ameliorants</t>
  </si>
  <si>
    <t>Area of ameliorants to tracks</t>
  </si>
  <si>
    <t>Area of ameliorants to laydown</t>
  </si>
  <si>
    <t>Area of ameliorants for all areas</t>
  </si>
  <si>
    <t>Fleet and distance</t>
  </si>
  <si>
    <t>Seeding area for tracks</t>
  </si>
  <si>
    <t>Seeding area for laydown</t>
  </si>
  <si>
    <t>Seeding area for all areas</t>
  </si>
  <si>
    <t>Grouting Boreholes</t>
  </si>
  <si>
    <t>$ for all holes</t>
  </si>
  <si>
    <t xml:space="preserve">Mobilisation </t>
  </si>
  <si>
    <t>Mobe Exploration - no heavy equipment &lt;=150 km</t>
  </si>
  <si>
    <t>Do not enter quantities in this row if you have used the Defaults mobilisation rows.</t>
  </si>
  <si>
    <t>Qty Name</t>
  </si>
  <si>
    <t>Other and Sundry</t>
  </si>
  <si>
    <t>Qty Unit</t>
  </si>
  <si>
    <t>Contaminated Land Studies</t>
  </si>
  <si>
    <t>Additional fees</t>
  </si>
  <si>
    <t>For accessing State, Crown or other public lands for rehabilitation/remediation activities</t>
  </si>
  <si>
    <t>Closure Plans</t>
  </si>
  <si>
    <t>HAZMAT</t>
  </si>
  <si>
    <t>Bunker tanks and buildings with Asbestos</t>
  </si>
  <si>
    <t xml:space="preserve"> CO02 analyser,CO34 analyser</t>
  </si>
  <si>
    <t>Heritage, Security, Other</t>
  </si>
  <si>
    <t>year</t>
  </si>
  <si>
    <t>Restoration and care and maintenance of items that have heritage significance</t>
  </si>
  <si>
    <t>Care and Maintenance</t>
  </si>
  <si>
    <t>years</t>
  </si>
  <si>
    <t>Minimum of five years</t>
  </si>
  <si>
    <t>Land Preparation and Revegetation (Growth Media Development and Ecosystem Establishment). Outside of other domains.</t>
  </si>
  <si>
    <t>Creek Diversions</t>
  </si>
  <si>
    <t>Mobilisation</t>
  </si>
  <si>
    <t>Small Fleet &lt;=150 km</t>
  </si>
  <si>
    <t>Medium Fleet &lt;=150 km</t>
  </si>
  <si>
    <t>Large Fleet &lt;=150 km</t>
  </si>
  <si>
    <t>Truck / shovel &lt;=150 km</t>
  </si>
  <si>
    <t>Mobe Small mine or quarry  - small fleet &lt;=150 km</t>
  </si>
  <si>
    <t>Small mine or quarry  - small fleet &gt;150 &lt;=500 km</t>
  </si>
  <si>
    <t>Small mine or quarry  - small fleet &gt;500 &lt;=1000 km</t>
  </si>
  <si>
    <t>Small mine or quarry  - small fleet &gt;1000 km</t>
  </si>
  <si>
    <t>User Entered</t>
  </si>
  <si>
    <t>COST SCHEDULE</t>
  </si>
  <si>
    <t>Items</t>
  </si>
  <si>
    <t>Assumptions / Inclusions</t>
  </si>
  <si>
    <t>Usage Notes</t>
  </si>
  <si>
    <t>A</t>
  </si>
  <si>
    <t>Ameliorants Application</t>
  </si>
  <si>
    <t>Top</t>
  </si>
  <si>
    <t>Apply ameliorants</t>
  </si>
  <si>
    <t>Fleet comprising Loader 926M, Backhoe_428F 4WD , Grader 14G,H,M , and Labour (General). Width of run 3m, travel speed 1.5km/h, overlap by 1.1 times.</t>
  </si>
  <si>
    <t>Enter the area over which ameloriant is to be applied.</t>
  </si>
  <si>
    <t>Purchase and apply Gypsum</t>
  </si>
  <si>
    <t>Application rate 2.5t/ha, default one way distance to source 55km, fleet for spreading comprising Loader 926M, Backhoe_428F 4WD , Grader 14G,H,M , and Labour (General). Width of run 3m, travel speed 1.5km/h, overlap by 1.1 times.</t>
  </si>
  <si>
    <t>Purchase and apply Lime</t>
  </si>
  <si>
    <t>Application rate 2t/ha, default one way distance to source 55km, fleet for spreading comprising Loader 926M, Backhoe_428F 4WD , Grader 14G,H,M , and Labour (General). Width of run 3m, travel speed 1.5km/h, overlap by 1.1 times.</t>
  </si>
  <si>
    <t>Purchase and apply Biosolids, MSW, Manure</t>
  </si>
  <si>
    <t>Application rate 50t/ha, default one way distance to source 55km, fleet for spreading comprising Loader 926M, Backhoe_428F 4WD , Grader 14G,H,M , and Labour (General). Width of run 3m, travel speed 1.5km/h, overlap by 1.1 times.</t>
  </si>
  <si>
    <t>Purchase and apply Gypsum + Biosolids</t>
  </si>
  <si>
    <t>Application rate 5t/ha, default one way distance to source 55km, fleet for spreading comprising Loader 926M, Backhoe_428F 4WD , Grader 14G,H,M , and Labour (General). Width of run 3m, travel speed 1.5km/h, overlap by 1.1 times.</t>
  </si>
  <si>
    <t>Purchase and apply Hay Mulch / Sugar Cane</t>
  </si>
  <si>
    <t>Application rate 0.3t/ha, default one way distance to source 55km, fleet for spreading comprising Loader 926M, Backhoe_428F 4WD , Grader 14G,H,M , and Labour (General). Width of run 3m, travel speed 1.5km/h, overlap by 1.1 times.</t>
  </si>
  <si>
    <t>Purchase and apply Fertiliser - pasture</t>
  </si>
  <si>
    <t>Application rate 0.1t/ha, default one way distance to source 55km, fleet for spreading comprising Loader 926M, Backhoe_428F 4WD , Grader 14G,H,M , and Labour (General). Width of run 3m, travel speed 1.5km/h, overlap by 1.1 times.</t>
  </si>
  <si>
    <t>Bores</t>
  </si>
  <si>
    <t>hole</t>
  </si>
  <si>
    <t>Holes deeper than 100 m - includes cutting steel collar 6 m below surface, grouting and capping.</t>
  </si>
  <si>
    <t>Enter the number of boreholes for this treatment.</t>
  </si>
  <si>
    <t>Boreholes – cap and seal surface-to-in-seam gas drainage</t>
  </si>
  <si>
    <t>Surface-to-in-seam gas drainage boreholes.</t>
  </si>
  <si>
    <t>Boreholes – cap and seal open bore holes - vertical gas drainage</t>
  </si>
  <si>
    <t>Vertical gas drainage boreholes.</t>
  </si>
  <si>
    <t>Includes multi skin sleaves to prevent aquifer mixing.</t>
  </si>
  <si>
    <t>Includes large diameter boreholes used for supplying electricity (66kV), compressed air, water, solsenic etc.</t>
  </si>
  <si>
    <t>Grout and cap coal borehole of 100 to 200 m, diameter 200 to 500 mm, rehabilitate well pads. Area of 20 m x 20 m drill pad - push cover of nearby growth media, rip and seed. Includes rehabilitation of sump.</t>
  </si>
  <si>
    <t xml:space="preserve">
Mineral exploration drill hole by reverse circulation - seal and rehabilitate land
</t>
  </si>
  <si>
    <t>Sealing required, but not complete filling with concrete/grout.  Includes rehabilitation of sump.</t>
  </si>
  <si>
    <t xml:space="preserve">May include cutting of casing, installation of a casing cap, and/or manually backfilling the hole with drill cuttings.  Does not include reshaping / ripping the drill pad, amelioration / seeding etc. </t>
  </si>
  <si>
    <t>Includes grouting and capping 200 to 500 m, diamater 200 to 500 mm exploration boreholes to meet the requirements of Departmental Guidelines.</t>
  </si>
  <si>
    <t>Bog out cuttings, remove fencing, remove rubbish, push sumps in, rehabilitate pads and tracks, cut and plug collars.  Includes labour and equipment, disposal of rubbish locally on site.</t>
  </si>
  <si>
    <t>Cut collar, remove, cap, backfill capped collar and cover with nearby organic or growth material.</t>
  </si>
  <si>
    <t>Buildings</t>
  </si>
  <si>
    <t>Based on footprint 50m2, wall height, 2.8m, steel roof 55m2, disconnect electrically and mechanically, remove steel roof and structural steel, demolish brick / concrete walls, cut-up / crush and load demolished materials, break and load concrete pad of thickness 150mm, remove incidental waste, fleet includes Excavator 340F, 345B , with hammer, shears, and grapple, and Labour (General).</t>
  </si>
  <si>
    <t>Enter the footprint of building to be demolished. If multiple floors are required, enter the total footprint of all floors.</t>
  </si>
  <si>
    <t>Based on footprint 2000m2, wall height, 2.8m, steel roof 2200m2, disconnect electrically and mechanically, remove steel roof and structural steel, demolish brick / concrete walls, cut-up / crush and load demolished materials, break and load concrete pad of thickness 150mm, remove incidental waste, fleet includes Excavator 340F, 345B , with hammer, shears, and grapple, and Labour (General).</t>
  </si>
  <si>
    <t>Based on footprint 900m2, wall height, 4m, steel roof 990m2 and walls, disconnect electrically and mechanically, remove steel roof and structural steel, demolish steel walls, cut-up / crush and load demolished materials, break and load concrete pad of thickness 150mm, remove incidental waste, fleet includes Excavator 340F, 345B , with hammer, shears, and grapple, and Labour (General).</t>
  </si>
  <si>
    <t>Small, Steel wall, Steel roof, Concrete floor, footprint 50m2</t>
  </si>
  <si>
    <t>Based on footprint 50m2, wall height, 2.8m, steel roof 55m2 and walls, disconnect electrically and mechanically, remove steel roof and structural steel, demolish steel walls, cut-up / crush and load demolished materials, break and load concrete pad of thickness 150mm, remove incidental waste, fleet includes Excavator 340F, 345B , with hammer, shears, and grapple, and Labour (General).</t>
  </si>
  <si>
    <t>building</t>
  </si>
  <si>
    <t>Disconnect electrically and mechanically, load and transport to off-site storage / reuse using Crane truck.</t>
  </si>
  <si>
    <t>Enter the number of buildings to be transported off-site for storage / re-use.</t>
  </si>
  <si>
    <t>Based on footprint 15m2 disconnect electrically and mechanically and transport off-site to storage / reuse using Crane truck.</t>
  </si>
  <si>
    <t>Enter the total footprint of portable buildings to be transported off-site for storage / re-use. Do not use area rate and per building rate for same item (use one or the other). Examples include crib huts and temporary offices.</t>
  </si>
  <si>
    <t>Buildings for Beneficiation</t>
  </si>
  <si>
    <t>m2-floor</t>
  </si>
  <si>
    <t>Based on footprint 100m2, wall height 3.2m, steel roof 100m2 and walls, disconnect electrically and mechanically, remove steel roof and structural steel, cut-up / crush and load demolished materials, break and load concrete pad of thickness 150mm, remove incidental waste, fleet includes Excavator 340F, 345B , with hammer, shears, and grapple, and Labour (General).</t>
  </si>
  <si>
    <t xml:space="preserve">
Enter the footprint of the building and the number of floors as the calculation multiplies the rate by the footprint area by the number of floors.
For buildings associated with Coal Handling Preparation Plant.  Includes an allowance for removal of equipment within the CHPP. Excludes conveyors, use separate rates to account for conveyors.
</t>
  </si>
  <si>
    <t>Based on footprint 250m2, wall height 8m, steel roof 275m2 and walls, disconnect electrically and mechanically, remove steel roof and structural steel, cut-up / crush and load demolished materials, break and load concrete pad of thickness 150mm, remove incidental waste, fleet includes Excavator 340F, 345B , with hammer, shears, and grapple, and Labour (General).</t>
  </si>
  <si>
    <t>Enter the footprint of the building and the number of floors as the calculation multiplies the rate by the footprint area by the number of floors.
Workshops tyre change and servicing area.</t>
  </si>
  <si>
    <t>Based on footprint 2000m2, wall height 5.6m, steel roof 2200m2 and walls, disconnect electrically and mechanically, remove steel roof and structural steel, cut-up / crush and load demolished materials, break and load concrete pad of thickness 150mm, remove incidental waste, fleet includes Excavator 340F, 345B , with hammer, shears, and grapple, and Labour (General).</t>
  </si>
  <si>
    <t xml:space="preserve">Enter the footprint of the building and the number of floors as the calculation multiplies the rate by the footprint area by the number of floors.
</t>
  </si>
  <si>
    <t>Cable Tray</t>
  </si>
  <si>
    <t>Cable and Tray</t>
  </si>
  <si>
    <t>Cut Linear Structure, Break, load, transport, dispose footings, Load and Transport Steel, fleet comprising Excavator 320C,F  with shears, Truck semi-tipper, Truck Flatbed, dispose off-site.</t>
  </si>
  <si>
    <t>Enter the length of cable tray.</t>
  </si>
  <si>
    <t>Capping - miscellaneous rates</t>
  </si>
  <si>
    <t>Compaction for Low Permeability Layer</t>
  </si>
  <si>
    <t>Compaction of clay using Compactor CP633E Sheepsfoot            supported by Grader 14G,H,M , Dozer D8R, Water truck 30kL, Construction labour, limiting speed is the compactor at 3km/h.</t>
  </si>
  <si>
    <t>Enter area to compact.</t>
  </si>
  <si>
    <t>Screening to prepare for capillary break / top rock</t>
  </si>
  <si>
    <t>Screening of material using Screening Plant, productivity 120m3/h.</t>
  </si>
  <si>
    <t>Enter volume of rock to screen.</t>
  </si>
  <si>
    <t>Capping Purchase and Install</t>
  </si>
  <si>
    <t>Supply and install Geotextile using Excavator 320C,F  with grapple, Labour (General), Area per roll 700m2/roll, Time to roll out one roll 0.5h.</t>
  </si>
  <si>
    <t>Enter area to apply cap material.</t>
  </si>
  <si>
    <t>Supply and install Geosynthetic using Excavator 320C,F  with grapple, Labour (General), Area per roll 80m2/roll, Time to roll out one roll 0.5h.</t>
  </si>
  <si>
    <t>Supply and install Geomembrane using Excavator 320C,F  with grapple, Labour (General), Area per roll 80m2/roll, Time to roll out one roll 0.5h.</t>
  </si>
  <si>
    <t>Compaction testing using Cone penetrometer, 1 Points per hectare, 1 Points per hour.</t>
  </si>
  <si>
    <t>Enter area over which to conduct testing.</t>
  </si>
  <si>
    <t>Capping - Investigations, Studies, Closure Planning, Design and Engineering</t>
  </si>
  <si>
    <t>Various of Groundwater assessment and modelling studies, Surface water hydrology and drainage assessment studies, Contamination/Ecotox/Hazard investigations and studies, Landform design and engineering work plan development, Geotechnical assessment and review, Development of landform decommissioning plans, Waste and topsoil characterisation and rehabilitation material balance studies, Data Management system, Construction management and supervision.</t>
  </si>
  <si>
    <t>Enter area to conduct activities over.</t>
  </si>
  <si>
    <t>HLP Default - Low risk</t>
  </si>
  <si>
    <t>WRD Default - Very Low risk</t>
  </si>
  <si>
    <t>WRD Default - Medium risk</t>
  </si>
  <si>
    <t>Care and Maintenance No Water Treatment</t>
  </si>
  <si>
    <t>month</t>
  </si>
  <si>
    <t>Maintenance of pumps and other equipment with a mix of trades and monitoring using consultants, allowance for analysis of samples.</t>
  </si>
  <si>
    <t>Enter duration to conduct care and maintenance.</t>
  </si>
  <si>
    <t>Care and Maintenance with Water Treatment</t>
  </si>
  <si>
    <t>Maintenance of pumps and other equipment with a mix of trades and monitoring using consultants, allowance for analysis of samples, operation of water treatment facility including allowance for chemicals.</t>
  </si>
  <si>
    <t>Enter duration to conduct care and maintenance on sites where water treatment will be operating.</t>
  </si>
  <si>
    <t>Clear Vegetation</t>
  </si>
  <si>
    <t>Clearing and grubbing of trees and vegetation</t>
  </si>
  <si>
    <t>Clear vegetation with Dozer D10T Production rate 6158m2/h.</t>
  </si>
  <si>
    <t>Enter area to clear and grub.</t>
  </si>
  <si>
    <t>Closure Plans and Other Documents</t>
  </si>
  <si>
    <t xml:space="preserve">Unplanned Project Closure Plan - SSD Early Planning Stage  </t>
  </si>
  <si>
    <t>plan</t>
  </si>
  <si>
    <t xml:space="preserve">Development of an 'Unplanned' Project Closure Plan - State Significant Development with only preliminary to conceptual closure planning in place. Includes costs for key investigations and studies including designs e.g. geochemistry, Contamination Remediation Action Plan, subsidence risk, cover/capping and final landform, site wide surface water.  
Provisional sum to be used to refine the conceptual closure plan into a detailed closure plan with execution strategies for rehabilitation activities.
Prepared by consultants.
</t>
  </si>
  <si>
    <t>Enter number of plans. Assume at least 15 types of studies required ranging from geotechnical to ecology and social, development of a closure plan including address of obligations. Assume a simple site e.g. single open cut, no legacy operations historical in the area, little social dependence.
Depending on site size, complexity, final land use requirements and knowledge base investigations can range to &gt;$3 M.
Sites with more than 1 pit to add $50,000 to rate.</t>
  </si>
  <si>
    <t xml:space="preserve">Unplanned Project Closure Plan - SSD Advanced Planning Stage  </t>
  </si>
  <si>
    <t>Development of an 'Unplanned' Project Closure Plan - State Significant Development with closure planning well progressed i.e. preferred cover design, closure environment modelled e.g. groundwater /subsidence / pit lakes, preliminary seal designs, etc. and only finalisation of detailed engineering deigns required.
Provisional sum to be used to refine the conceptual closure plan into a detailed closure plan with execution strategies for rehabilitation activities.
Assumes outcomes of studies readily available including modelling, landform design, geochemistry, demolition, etc.  Costs to finalise options by domain and finalise designs for construction.
Prepared by consultants.</t>
  </si>
  <si>
    <t>Enter number of plans. 
Assume a simple site e.g. single open cut, no legacy operations historic in the area, little social dependence.
Depending on site size, complexity, final land use requirements and knowledge base investigations can range from ~$75k to &gt;$1 M.
Sites with more than 1 pit to add $50,000 to rate.</t>
  </si>
  <si>
    <t>Unplanned Project Closure Plan - Non SSD - Issues</t>
  </si>
  <si>
    <t>Development of an 'Unplanned' Project Closure Plan - Non State Significant Development with at least ≥2 of the following aspects resulting in significant issues requiring remediation: previous subsidence, medium or higher geochemistry risk and/or spontaneous combustion propensity, known/ likely contamination, tailings / rejects, final void.
Includes costs for key investigations and studies including economic treatments and designs e.g. geochemistry, Contamination Remediation Action Plan, subsidence risk, cover/capping and final landform, site wide surface water.  Provisional sum to be used to refine the conceptual closure plan into a detailed closure plan with execution strategies for rehabilitation activities.
Prepared by consultants.</t>
  </si>
  <si>
    <t>Enter number of plans.</t>
  </si>
  <si>
    <t>Unplanned Project Closure Plan - Non SSD - Minor Issues</t>
  </si>
  <si>
    <t>Development of an 'Unplanned' Project Closure Plan - Non State Significant Development with at least ≥2 of the following aspects requiring closure planning, but no significant issues realised at this time: previous subsidence, medium or higher geochemistry risk and/or spontaneous combustion propensity, known/ likely contamination, tailings / rejects, final void.
Provisional sum to be used to refine the conceptual closure plan into a detailed closure plan with execution strategies for rehabilitation activities.
Estimated cost for developing closure plan including studies - basic to satisfy risks and decisions - includes risk assessment, options analysis, Closure Plan.
Prepared by consultants.</t>
  </si>
  <si>
    <t>Enter number of plans. Sites with more than 1 pit to add $50,000 to rate.</t>
  </si>
  <si>
    <t>Unplanned Project Closure Plan - Non SSD - No EPL</t>
  </si>
  <si>
    <t>Development of an 'Unplanned' Project Closure Plan - Non State Significant Development with no EPL and/or only one of the following relevant aspects: previous subsidence, low to medium geochemistry risk and/or spontaneous combustion propensity, known limited contamination, small approved final void.
Assumes sediment control is the key concern for rehabilitation e.g. small mines, exploration operations.  Includes risk assessment, sampling and analyses on &lt;5 samples, one study and Closure Plan.
Prepared by consultants.</t>
  </si>
  <si>
    <t>Review of Environmental Factors</t>
  </si>
  <si>
    <t>report</t>
  </si>
  <si>
    <t>Reasonable allowance for detailed closure study (e.g. contamination investigation).  Note this does not apply to a Statement of Environmental Effects or Environmental Impact Statement. Prepared using consultants.
Based on experience for a REF after completion of a detailed closure study (e.g. contamination investigation) costs could range from $10,000 to $100,000 ex GST.  Note this does not apply to a Statement of Environmental Effects or Environmental Impact Statement.
Prepared by consultants.</t>
  </si>
  <si>
    <t>Enter number of reports to facilitate rehabilitation including contamination works.</t>
  </si>
  <si>
    <t>Communications Towers</t>
  </si>
  <si>
    <t>Communications tower</t>
  </si>
  <si>
    <t>tower</t>
  </si>
  <si>
    <t>Isolate and electrically disconnect, mechanically disconnect, remove electronics; Pull Down / Dismantle; Load and transport units (e.g. electronics); Break, load, transport, dispose concrete slab and footings; Cut-up, remove, load and transport steel and electrical; Remove, load and transport incidental waste using fleet comprising Labour (General), Electrician, Mechanical fitter, Excavator 340F, 345B  with shears and hammer, Crane 50 tonne .</t>
  </si>
  <si>
    <t>Enter number of communications towers.</t>
  </si>
  <si>
    <t>Concrete Crushing</t>
  </si>
  <si>
    <t xml:space="preserve">Concrete crush to 75mm </t>
  </si>
  <si>
    <t xml:space="preserve">Fleet includes pulveriser, impactor, stacker and loader. Productivity 800 tonnes per day. </t>
  </si>
  <si>
    <t>Enter mass of concrete to crush to shown size. This rate applies to miscellaneous areas not associated with buildings, tanks, process plant (the default rates for those items include concrete management).</t>
  </si>
  <si>
    <t xml:space="preserve">Fleet includes pulveriser, impactor, stacker and loader. Productivity 500 tonnes per day. </t>
  </si>
  <si>
    <t xml:space="preserve">Fleet includes pulveriser, impactor, stacker and loader. Productivity 400 tonnes per day. </t>
  </si>
  <si>
    <t>Contaminated Soil On-site Remediation</t>
  </si>
  <si>
    <t xml:space="preserve">Biopile hydrocarbon soils - minimum cost </t>
  </si>
  <si>
    <t>lump</t>
  </si>
  <si>
    <t>Minimal costs to set-up biopile.</t>
  </si>
  <si>
    <t>Rate is applied for volumes less than 50 cubic metres.</t>
  </si>
  <si>
    <t>Biopile Hydrocarbon Impacted Soils</t>
  </si>
  <si>
    <t>Prepare surface; Construct bund, base, and cover; Place Soil and Amend; Turn and Monitor Biopile fleet comprising Excavator 320C,F  with grapple, Labour (General), Loader 930K. Soil placed up to 1.5m, height of bund 0.5m, Liner HDPE 1mm on base, Cover HDPE 0.5 mm to cover pile, soil amended to achieve carbon:nitrogen:phosphorous ratio of 1:10:120, water added. Allowance for 2 turning and sampling events and sampling and reporting.</t>
  </si>
  <si>
    <t>Enter volume of soil to be treated.</t>
  </si>
  <si>
    <t>Amend soil to correct pH, fleet comprising Excavator 320C,F , Labour (General), Loader 930K. Lime applied at 5kg/t of soil. Allowance for sampling and reporting.</t>
  </si>
  <si>
    <t>Enter mass of soil to be treated.</t>
  </si>
  <si>
    <t>Costs from US EPA and other sources used instead of mobe.  Costs range from $100 to $600 per t depending on several factors that would be determined with site-specific informaton. Upper middle rate selected.</t>
  </si>
  <si>
    <t>Contaminated Land Investigations and Reporting and Heritage</t>
  </si>
  <si>
    <t>Preliminary Site Investigation</t>
  </si>
  <si>
    <t>Site</t>
  </si>
  <si>
    <t>Undertaken by consultants.</t>
  </si>
  <si>
    <t>Enter number of investigations to be undertaken.</t>
  </si>
  <si>
    <t>Contaminated Land Soil Investigation - Preparation</t>
  </si>
  <si>
    <t>Investigation</t>
  </si>
  <si>
    <t>Undertaken by consultants. Includes health and safety documentation, work plan, arranging equipment and consumables.</t>
  </si>
  <si>
    <t>Enter number of intrusive investigations to be undertaken.</t>
  </si>
  <si>
    <t>Contaminated Land Soil Investigation - Field Work and Reporting</t>
  </si>
  <si>
    <t>Undertaken by consultants. Includes labour, equipment, consumables and sample analysis. Allowance for reporting.</t>
  </si>
  <si>
    <t>Enter area over which intrusive investigaton will be undertaken.</t>
  </si>
  <si>
    <t>Remedial Action Plan (simple)</t>
  </si>
  <si>
    <t>Report</t>
  </si>
  <si>
    <t>Enter number of areas requiring separate plans.</t>
  </si>
  <si>
    <t>Remedial Action Plan (compex)</t>
  </si>
  <si>
    <t>Heritage Report</t>
  </si>
  <si>
    <t>Enter number of areas requiring separate reports.</t>
  </si>
  <si>
    <t>Conveyors and Tunnels</t>
  </si>
  <si>
    <t>Electrically and mechanically disconnect; remove and dispose belt; remove, load and transport conveyor; break and dispose footings, fleet comprises Excavator 312F  with shears, grapple and hammer, Panhandler, Truck Flatbed, Crane 20 tonne , Truck Flatbed, Electrician, Mechanical fitter.</t>
  </si>
  <si>
    <t>Enter length of conveyor. Land rehabilitation costs must be entered separately.</t>
  </si>
  <si>
    <t>Electrically and mechanically disconnect; remove and dispose belt; remove, load and transport conveyor; break and dispose footings, fleet comprises Excavator 312F  with shears, grapple and hammer, Work platform, Panhandler, Truck Flatbed, Crane 20 tonne , Truck Flatbed, Electrician, Mechanical fitter.</t>
  </si>
  <si>
    <t>Conveyor overhead</t>
  </si>
  <si>
    <t>Electrically and mechanically disconnect; remove and dispose belt; remove, load and transport conveyor; break and dispose footings, fleet comprises Excavator 312F  with shears, grapple and hammer, Work platform, Panhandler, Truck Flatbed, Crane 20 tonne , Crane 50 tonne , Truck Flatbed, Electrician, Mechanical fitter.</t>
  </si>
  <si>
    <t>Electrically and mechanically disconnect; remove and dispose belt; remove, load and transport conveyor; break and dispose footings, fleet comprises Excavator 312F  with shears, grapple and hammer, Backhoe_428F 4WD , Panhandler, Truck Flatbed, Crane 20 tonne , Truck Flatbed, Electrician, Mechanical fitter.</t>
  </si>
  <si>
    <t>Break concrete, fleet comprises Excavator 312F  with hammer, Loader 926M, Truck 725 , Labour (General). Breaking rate reduced due to conditions.</t>
  </si>
  <si>
    <t>Conveyor down drift</t>
  </si>
  <si>
    <t>Vent raise fans, electrical substation and winch (undergound mines)</t>
  </si>
  <si>
    <t>item</t>
  </si>
  <si>
    <t>Electrical and mechanical disconnection, transport materials for scrap / re-use / disposal, no land rehabilitation costs included. Fleet comprises Electrician, Mechanical fitter, Construction labour, Backhoe_428F 4WD , Crane 20 tonne , Truck Flatbed.</t>
  </si>
  <si>
    <t>Enter number of items. Land rehabilitation costs must be entered separately.</t>
  </si>
  <si>
    <t>Enter number of items.</t>
  </si>
  <si>
    <t>Repairs and/or stabilisation of new or compromised water course diversion</t>
  </si>
  <si>
    <t>Fleet comprising Dozer D10T.</t>
  </si>
  <si>
    <t>Enter length of water course to repair.</t>
  </si>
  <si>
    <t>Long term maintenance of water course diversion – Channel constructed through backfilled material (major)</t>
  </si>
  <si>
    <t>Long term maintenance of water course diversion – Channel constructed through competent material (major)</t>
  </si>
  <si>
    <t>Long term maintenance of water course diversion – Channel constructed through backfilled material (minor)</t>
  </si>
  <si>
    <t>Long term maintenance of water course diversion – Channel constructed through competent material (low risk minor)</t>
  </si>
  <si>
    <t>Install Rock Armour for drainage</t>
  </si>
  <si>
    <t>Thickness of armour 0.1m</t>
  </si>
  <si>
    <t>Used in drainage costs.</t>
  </si>
  <si>
    <t>Dam process Pasture 0 to &lt;=1 ML</t>
  </si>
  <si>
    <t>dam</t>
  </si>
  <si>
    <t>Sediment Removal; Demolish bunds; Liner Removal and Disposal; Investigation. Fleet comprising Excavator 340F, 345B  with shears Mechanical fitter, Construction labour; Lined; slope of walls 1 in 4;  sediment thickness 0.5m, liner specific mass 0.0021 t/m2. Includes contaminated land investigation.</t>
  </si>
  <si>
    <t>Enter number of dams of shown type and size in the shown land type.</t>
  </si>
  <si>
    <t>Dam process Pasture &gt;1 to &lt;=3.5 ML</t>
  </si>
  <si>
    <t>Dam process Pasture &gt;3.5 to &lt;=7.5 ML</t>
  </si>
  <si>
    <t>Dam process Pasture &gt;7.5 to &lt;= 10 ML</t>
  </si>
  <si>
    <t>Dam process Pasture &gt;10 to &lt;=20 ML</t>
  </si>
  <si>
    <t>Dam process Pasture &gt; 20 to &lt;=50 ML</t>
  </si>
  <si>
    <t>Dam process Pasture &gt;50 to &lt;=100 ML</t>
  </si>
  <si>
    <t>Dam process Pasture &gt;100 to &lt;=500 ML</t>
  </si>
  <si>
    <t>Dam process Pasture &gt;500 to &lt;=1000 ML</t>
  </si>
  <si>
    <t>Dam process Native 0 to &lt;=1 ML</t>
  </si>
  <si>
    <t>Dam process Native &gt;1 to &lt;=3.5 ML</t>
  </si>
  <si>
    <t>Dam process Native &gt;3.5 to &lt;=7.5 ML</t>
  </si>
  <si>
    <t>Dam process Native &gt;7.5 to &lt;= 10 ML</t>
  </si>
  <si>
    <t>Dam process Native &gt;10 to &lt;=20 ML</t>
  </si>
  <si>
    <t>Dam process Native &gt; 20 to &lt;=50 ML</t>
  </si>
  <si>
    <t>Dam process Native &gt;50 to &lt;=100 ML</t>
  </si>
  <si>
    <t>Dam process Native &gt;100 to &lt;=500 ML</t>
  </si>
  <si>
    <t>Dam process Native &gt;500 to &lt;=1000 ML</t>
  </si>
  <si>
    <t>Dam process Arid 0 to &lt;=1 ML</t>
  </si>
  <si>
    <t>Dam process Arid &gt;1 to &lt;=3.5 ML</t>
  </si>
  <si>
    <t>Dam process Arid &gt;7.5 to &lt;= 10 ML</t>
  </si>
  <si>
    <t>Dam process Arid &gt;10 to &lt;=20 ML</t>
  </si>
  <si>
    <t>Dam process Arid &gt; 20 to &lt;=50 ML</t>
  </si>
  <si>
    <t>Dam process Arid &gt;50 to &lt;=100 ML</t>
  </si>
  <si>
    <t>Dam process Arid &gt;100 to &lt;=500 ML</t>
  </si>
  <si>
    <t>Dam process Arid &gt;500 to &lt;=1000 ML</t>
  </si>
  <si>
    <t>Sediment Removal; Demolish bunds; Liner Removal and Disposal; Investigation. Fleet comprising Excavator 340F, 345B  with shears Mechanical fitter, Construction labour; Lined; slope of walls 1 in 4;  sediment thickness 0.3m, liner specific mass 0.0021 t/m2.</t>
  </si>
  <si>
    <t>Dam raw Pasture &gt;1 to &lt;=3.5 ML</t>
  </si>
  <si>
    <t>Dam raw Pasture &gt;7.5 to &lt;= 10 ML</t>
  </si>
  <si>
    <t>Dam raw Pasture &gt;10 to &lt;=20 ML</t>
  </si>
  <si>
    <t>Sediment Removal; Demolish bunds; Liner Removal and Disposal; Investigation. Fleet comprising Excavator 340F, 345B  with shears Mechanical fitter, Construction labour; Lined; slope of walls 1 in 4;  sediment thickness 0.3m, liner specific mass 0.0021 t/m2. Includes contaminated land investigation.</t>
  </si>
  <si>
    <t>Dam raw Pasture &gt; 20 to &lt;=50 ML</t>
  </si>
  <si>
    <t>Dam raw Pasture &gt;100 to &lt;=500 ML</t>
  </si>
  <si>
    <t>Dam raw Pasture &gt;500 to &lt;=1000 ML</t>
  </si>
  <si>
    <t>Dam raw Native 0 to &lt;=1 ML</t>
  </si>
  <si>
    <t>Dam raw Native &gt;1 to &lt;=3.5 ML</t>
  </si>
  <si>
    <t>Dam raw Native &gt;3.5 to &lt;=7.5 ML</t>
  </si>
  <si>
    <t>Dam raw Native &gt;7.5 to &lt;= 10 ML</t>
  </si>
  <si>
    <t>Dam raw Native &gt;10 to &lt;=20 ML</t>
  </si>
  <si>
    <t>Dam raw Native &gt; 20 to &lt;=50 ML</t>
  </si>
  <si>
    <t>Dam raw Native &gt;50 to &lt;=100 ML</t>
  </si>
  <si>
    <t>Dam raw Native &gt;100 to &lt;=500 ML</t>
  </si>
  <si>
    <t>Dam raw Native &gt;500 to &lt;=1000 ML</t>
  </si>
  <si>
    <t>Dam raw Arid 0 to &lt;=1 ML</t>
  </si>
  <si>
    <t>Dam raw Arid &gt;1 to &lt;=3.5 ML</t>
  </si>
  <si>
    <t>Dam raw Arid &gt;3.5 to &lt;=7.5 ML</t>
  </si>
  <si>
    <t>Dam raw Arid &gt;7.5 to &lt;= 10 ML</t>
  </si>
  <si>
    <t>Dam raw Arid &gt;10 to &lt;=20 ML</t>
  </si>
  <si>
    <t>Dam raw Arid &gt; 20 to &lt;=50 ML</t>
  </si>
  <si>
    <t>Dam raw Arid &gt;50 to &lt;=100 ML</t>
  </si>
  <si>
    <t>Dam raw Arid &gt;100 to &lt;=500 ML</t>
  </si>
  <si>
    <t>Dam raw Arid &gt;500 to &lt;=1000 ML</t>
  </si>
  <si>
    <t>Dam evaporation Pasture 0 to &lt;=1 ML</t>
  </si>
  <si>
    <t>Demolish bunds. Fleet comprising Excavator 340F, 345B , Mechanical fitter, Construction labour; Unlined; slope of walls 1 in 4;  sediment thickness 0m.</t>
  </si>
  <si>
    <t>Dam evaporation Pasture &gt;1 to &lt;=3.5 ML</t>
  </si>
  <si>
    <t>Dam evaporation Pasture &gt;3.5 to &lt;=7.5 ML</t>
  </si>
  <si>
    <t>Dam evaporation Pasture &gt;7.5 to &lt;= 10 ML</t>
  </si>
  <si>
    <t>Dam evaporation Pasture &gt;10 to &lt;=20 ML</t>
  </si>
  <si>
    <t>Dam evaporation Pasture &gt; 20 to &lt;=50 ML</t>
  </si>
  <si>
    <t>Dam evaporation Pasture &gt;50 to &lt;=100 ML</t>
  </si>
  <si>
    <t>Dam evaporation Pasture &gt;100 to &lt;=500 ML</t>
  </si>
  <si>
    <t>Dam evaporation Pasture &gt;500 to &lt;=1000 ML</t>
  </si>
  <si>
    <t>Dam evaporation Native 0 to &lt;=1 ML</t>
  </si>
  <si>
    <t>Dam evaporation Native &gt;1 to &lt;=3.5 ML</t>
  </si>
  <si>
    <t>Dam evaporation Native &gt;3.5 to &lt;=7.5 ML</t>
  </si>
  <si>
    <t>Dam evaporation Native &gt;7.5 to &lt;= 10 ML</t>
  </si>
  <si>
    <t>Dam evaporation Native &gt;10 to &lt;=20 ML</t>
  </si>
  <si>
    <t>Dam evaporation Native &gt; 20 to &lt;=50 ML</t>
  </si>
  <si>
    <t>Dam evaporation Native &gt;100 to &lt;=500 ML</t>
  </si>
  <si>
    <t>Dam evaporation Native &gt;500 to &lt;=1000 ML</t>
  </si>
  <si>
    <t>Dam evaporation Arid 0 to &lt;=1 ML</t>
  </si>
  <si>
    <t>Dam evaporation Arid &gt;1 to &lt;=3.5 ML</t>
  </si>
  <si>
    <t>Dam evaporation Arid &gt;3.5 to &lt;=7.5 ML</t>
  </si>
  <si>
    <t>Dam evaporation Arid &gt;7.5 to &lt;= 10 ML</t>
  </si>
  <si>
    <t>Dam evaporation Arid &gt;10 to &lt;=20 ML</t>
  </si>
  <si>
    <t>Dam evaporation Arid &gt; 20 to &lt;=50 ML</t>
  </si>
  <si>
    <t>Dam evaporation Arid &gt;50 to &lt;=100 ML</t>
  </si>
  <si>
    <t>Dam evaporation Arid &gt;100 to &lt;=500 ML</t>
  </si>
  <si>
    <t>Dam evaporation Arid &gt;500 to &lt;=1000 ML</t>
  </si>
  <si>
    <t>Fleet comprising Dozer D6R and Grader 12M.</t>
  </si>
  <si>
    <t>Fleet comprising Truck 740C (ADT), Loader 950M , Grader 14G,H,M , Water truck 19kL, Dozer D9R.</t>
  </si>
  <si>
    <t>Enter total volume of sediment to be removed (m3)</t>
  </si>
  <si>
    <t>Remove sediment and haul &gt;1 to &lt;= 2 km</t>
  </si>
  <si>
    <t>Remove sediment and haul &gt;2 to &lt;= 5 km</t>
  </si>
  <si>
    <t>Remove sediment and haul &gt;5 km</t>
  </si>
  <si>
    <t>Dams Task Rates</t>
  </si>
  <si>
    <t>Liner Removal</t>
  </si>
  <si>
    <t>Fleet comprising Construction labour, Excavator 340F, 345B , Excavator 340F, 345B  with shears, liner specific mass 0.0021t / m2, productivity 5h / ha.</t>
  </si>
  <si>
    <t>Used with dam calculations - area of liner to be removed.</t>
  </si>
  <si>
    <t>Dam Pontoon and Pump</t>
  </si>
  <si>
    <t>Electrical and mechanical disconnection, transport materials for scrap / re-use / disposal, no land rehabilitation costs included. Fleet comprises Electrician, Mechanical fitter, Backhoe_428F 4WD , Crane 20 tonne , Truck Flatbed, Labour (General).</t>
  </si>
  <si>
    <t>Enter number of items</t>
  </si>
  <si>
    <t>Evaporators (dams)</t>
  </si>
  <si>
    <t>Electrical and mechanical disconnection, transport materials for scrap / re-use / disposal, no land rehabilitation costs included. Fleet comprises Electrician, Mechanical fitter, Backhoe_428F 4WD , Crane 20 tonne , Truck Flatbed, 16.</t>
  </si>
  <si>
    <t>Dozer Rip</t>
  </si>
  <si>
    <t>End Dozers</t>
  </si>
  <si>
    <t>Productivity of 2.1 hours per hectare.</t>
  </si>
  <si>
    <t>Enter area of land to be ripped.</t>
  </si>
  <si>
    <t>Dozer D7R</t>
  </si>
  <si>
    <t>Productivity of 1.9 hours per hectare.</t>
  </si>
  <si>
    <t>Dozer D9R</t>
  </si>
  <si>
    <t>Productivity of 1.8 hours per hectare.</t>
  </si>
  <si>
    <t>Dozer D10T</t>
  </si>
  <si>
    <t>Productivity of 1.6 hours per hectare.</t>
  </si>
  <si>
    <t>Dozer D11T</t>
  </si>
  <si>
    <t>Productivity of 1.4 hours per hectare.</t>
  </si>
  <si>
    <t>Dozer Push</t>
  </si>
  <si>
    <t>Productivity of 430 metres cubed per hour.</t>
  </si>
  <si>
    <t>Enter volume of loose soil to be pushed by shown dozer over shown length. If rate shows Too small the dozer cannot push over the shown distance.</t>
  </si>
  <si>
    <t>Productivity of 196 metres cubed per hour.</t>
  </si>
  <si>
    <t>Dozer D6R - &gt; 75m to &lt;= 100m push</t>
  </si>
  <si>
    <t>Productivity of 173 metres cubed per hour.</t>
  </si>
  <si>
    <t>Dozer D6R - &gt; 100m to &lt;= 125m push</t>
  </si>
  <si>
    <t>Productivity of 128 metres cubed per hour.</t>
  </si>
  <si>
    <t>Dozer D6R - &gt; 125m to &lt;= 150m push</t>
  </si>
  <si>
    <t>Too small</t>
  </si>
  <si>
    <t>Dozer D6R - &gt; 150m to &lt;= 200m push</t>
  </si>
  <si>
    <t>Dozer D6R - &gt; 200m to &lt;= 250m push</t>
  </si>
  <si>
    <t>Dozer D6R - &gt; 250m to &lt;= 300m push</t>
  </si>
  <si>
    <t>Dozer D6R - &gt; 300m to &lt;= 350m push</t>
  </si>
  <si>
    <t>Dozer D6R - &gt; 350m to &lt;= 400m push</t>
  </si>
  <si>
    <t>Dozer D6R - &gt; 400m to &lt;= 450m push</t>
  </si>
  <si>
    <t>Dozer D6R - &gt; 450m to &lt;= 500m push</t>
  </si>
  <si>
    <t>Dozer D6R - &gt; 500m push</t>
  </si>
  <si>
    <t>Dozer D7R - &lt;= 20m push</t>
  </si>
  <si>
    <t>Productivity of 583 metres cubed per hour.</t>
  </si>
  <si>
    <t>Dozer D7R - &gt; 20m to &lt;= 50m push</t>
  </si>
  <si>
    <t>Dozer D7R - &gt; 50m to &lt;= 75m push</t>
  </si>
  <si>
    <t>Productivity of 350 metres cubed per hour.</t>
  </si>
  <si>
    <t>Dozer D7R - &gt; 75m to &lt;= 100m push</t>
  </si>
  <si>
    <t>Productivity of 306 metres cubed per hour.</t>
  </si>
  <si>
    <t>Dozer D7R - &gt; 100m to &lt;= 125m push</t>
  </si>
  <si>
    <t>Productivity of 218 metres cubed per hour.</t>
  </si>
  <si>
    <t>Dozer D7R - &gt; 125m to &lt;= 150m push</t>
  </si>
  <si>
    <t>Dozer D7R - &gt; 150m to &lt;= 200m push</t>
  </si>
  <si>
    <t>Dozer D7R - &gt; 200m to &lt;= 250m push</t>
  </si>
  <si>
    <t>Dozer D7R - &gt; 250m to &lt;= 300m push</t>
  </si>
  <si>
    <t>Dozer D7R - &gt; 300m to &lt;= 350m push</t>
  </si>
  <si>
    <t>Dozer D7R - &gt; 350m to &lt;= 400m push</t>
  </si>
  <si>
    <t>Dozer D7R - &gt; 400m to &lt;= 450m push</t>
  </si>
  <si>
    <t>Dozer D7R - &gt; 450m to &lt;= 500m push</t>
  </si>
  <si>
    <t>Dozer D7R - &gt; 500m push</t>
  </si>
  <si>
    <t>Productivity of 816 metres cubed per hour.</t>
  </si>
  <si>
    <t>Dozer D8R - &gt; 20m to &lt;= 50m push</t>
  </si>
  <si>
    <t>Dozer D8R - &gt; 50m to &lt;= 75m push</t>
  </si>
  <si>
    <t>Productivity of 443 metres cubed per hour.</t>
  </si>
  <si>
    <t>Dozer D8R - &gt; 75m to &lt;= 100m push</t>
  </si>
  <si>
    <t>Productivity of 380 metres cubed per hour.</t>
  </si>
  <si>
    <t>Dozer D8R - &gt; 100m to &lt;= 125m push</t>
  </si>
  <si>
    <t>Productivity of 255 metres cubed per hour.</t>
  </si>
  <si>
    <t>Dozer D8R - &gt; 125m to &lt;= 150m push</t>
  </si>
  <si>
    <t>Productivity of 161 metres cubed per hour.</t>
  </si>
  <si>
    <t>Dozer D8R - &gt; 150m to &lt;= 200m push</t>
  </si>
  <si>
    <t>Productivity of 114 metres cubed per hour.</t>
  </si>
  <si>
    <t>Dozer D8R - &gt; 200m to &lt;= 250m push</t>
  </si>
  <si>
    <t>Productivity of 84 metres cubed per hour.</t>
  </si>
  <si>
    <t>Dozer D8R - &gt; 250m to &lt;= 300m push</t>
  </si>
  <si>
    <t>Dozer D8R - &gt; 300m to &lt;= 350m push</t>
  </si>
  <si>
    <t>Dozer D8R - &gt; 350m to &lt;= 400m push</t>
  </si>
  <si>
    <t>Dozer D8R - &gt; 400m to &lt;= 450m push</t>
  </si>
  <si>
    <t>Dozer D8R - &gt; 450m to &lt;= 500m push</t>
  </si>
  <si>
    <t>Dozer D8R - &gt; 500m push</t>
  </si>
  <si>
    <t>Dozer D9R - &lt;= 20m push</t>
  </si>
  <si>
    <t>Productivity of 1165 metres cubed per hour.</t>
  </si>
  <si>
    <t>Dozer D9R - &gt; 50m to &lt;= 75m push</t>
  </si>
  <si>
    <t>Productivity of 653 metres cubed per hour.</t>
  </si>
  <si>
    <t>Dozer D9R - &gt; 75m to &lt;= 100m push</t>
  </si>
  <si>
    <t>Productivity of 568 metres cubed per hour.</t>
  </si>
  <si>
    <t>Dozer D9R - &gt; 100m to &lt;= 125m push</t>
  </si>
  <si>
    <t>Productivity of 399 metres cubed per hour.</t>
  </si>
  <si>
    <t>Dozer D9R - &gt; 125m to &lt;= 150m push</t>
  </si>
  <si>
    <t>Productivity of 269 metres cubed per hour.</t>
  </si>
  <si>
    <t>Dozer D9R - &gt; 150m to &lt;= 200m push</t>
  </si>
  <si>
    <t>Productivity of 209 metres cubed per hour.</t>
  </si>
  <si>
    <t>Dozer D9R - &gt; 200m to &lt;= 250m push</t>
  </si>
  <si>
    <t>Productivity of 167 metres cubed per hour.</t>
  </si>
  <si>
    <t>Dozer D9R - &gt; 250m to &lt;= 300m push</t>
  </si>
  <si>
    <t>Productivity of 219 metres cubed per hour.</t>
  </si>
  <si>
    <t>Dozer D9R - &gt; 300m to &lt;= 350m push</t>
  </si>
  <si>
    <t>Productivity of 250 metres cubed per hour.</t>
  </si>
  <si>
    <t>Dozer D9R - &gt; 350m to &lt;= 400m push</t>
  </si>
  <si>
    <t>Dozer D9R - &gt; 400m to &lt;= 450m push</t>
  </si>
  <si>
    <t>Productivity of 185 metres cubed per hour.</t>
  </si>
  <si>
    <t>Dozer D9R - &gt; 450m to &lt;= 500m push</t>
  </si>
  <si>
    <t>Dozer D9R - &gt; 500m push</t>
  </si>
  <si>
    <t>Productivity of 1631 metres cubed per hour.</t>
  </si>
  <si>
    <t>Dozer D10T - &gt; 20m to &lt;= 50m push</t>
  </si>
  <si>
    <t>Productivity of 886 metres cubed per hour.</t>
  </si>
  <si>
    <t>Dozer D10T - &gt; 75m to &lt;= 100m push</t>
  </si>
  <si>
    <t>Productivity of 773 metres cubed per hour.</t>
  </si>
  <si>
    <t>Dozer D10T - &gt; 100m to &lt;= 125m push</t>
  </si>
  <si>
    <t>Productivity of 549 metres cubed per hour.</t>
  </si>
  <si>
    <t>Dozer D10T - &gt; 125m to &lt;= 150m push</t>
  </si>
  <si>
    <t>Productivity of 405 metres cubed per hour.</t>
  </si>
  <si>
    <t>Dozer D10T - &gt; 150m to &lt;= 200m push</t>
  </si>
  <si>
    <t>Productivity of 346 metres cubed per hour.</t>
  </si>
  <si>
    <t>Dozer D10T - &gt; 200m to &lt;= 250m push</t>
  </si>
  <si>
    <t>Productivity of 282 metres cubed per hour.</t>
  </si>
  <si>
    <t>Dozer D10T - &gt; 250m to &lt;= 300m push</t>
  </si>
  <si>
    <t>Productivity of 330 metres cubed per hour.</t>
  </si>
  <si>
    <t>Dozer D10T - &gt; 300m to &lt;= 350m push</t>
  </si>
  <si>
    <t>Productivity of 404 metres cubed per hour.</t>
  </si>
  <si>
    <t>Dozer D10T - &gt; 350m to &lt;= 400m push</t>
  </si>
  <si>
    <t>Productivity of 382 metres cubed per hour.</t>
  </si>
  <si>
    <t>Dozer D10T - &gt; 400m to &lt;= 450m push</t>
  </si>
  <si>
    <t>Productivity of 360 metres cubed per hour.</t>
  </si>
  <si>
    <t>Dozer D10T - &gt; 450m to &lt;= 500m push</t>
  </si>
  <si>
    <t>Productivity of 339 metres cubed per hour.</t>
  </si>
  <si>
    <t>Dozer D10T - &gt; 500m push</t>
  </si>
  <si>
    <t>Productivity of 341 metres cubed per hour.</t>
  </si>
  <si>
    <t>Dozer D11T - &lt;= 20m push</t>
  </si>
  <si>
    <t>Productivity of 2796 metres cubed per hour.</t>
  </si>
  <si>
    <t>Dozer D11T - &gt; 20m to &lt;= 50m push</t>
  </si>
  <si>
    <t>Dozer D11T - &gt; 50m to &lt;= 75m push</t>
  </si>
  <si>
    <t>Productivity of 1398 metres cubed per hour.</t>
  </si>
  <si>
    <t>Dozer D11T - &gt; 75m to &lt;= 100m push</t>
  </si>
  <si>
    <t>Productivity of 1223 metres cubed per hour.</t>
  </si>
  <si>
    <t>Dozer D11T - &gt; 100m to &lt;= 125m push</t>
  </si>
  <si>
    <t>Productivity of 874 metres cubed per hour.</t>
  </si>
  <si>
    <t>Dozer D11T - &gt; 125m to &lt;= 150m push</t>
  </si>
  <si>
    <t>Productivity of 629 metres cubed per hour.</t>
  </si>
  <si>
    <t>Dozer D11T - &gt; 150m to &lt;= 200m push</t>
  </si>
  <si>
    <t>Productivity of 513 metres cubed per hour.</t>
  </si>
  <si>
    <t>Dozer D11T - &gt; 200m to &lt;= 250m push</t>
  </si>
  <si>
    <t>Productivity of 408 metres cubed per hour.</t>
  </si>
  <si>
    <t>Dozer D11T - &gt; 250m to &lt;= 300m push</t>
  </si>
  <si>
    <t>Productivity of 507 metres cubed per hour.</t>
  </si>
  <si>
    <t>Dozer D11T - &gt; 300m to &lt;= 350m push</t>
  </si>
  <si>
    <t>Productivity of 647 metres cubed per hour.</t>
  </si>
  <si>
    <t>Dozer D11T - &gt; 350m to &lt;= 400m push</t>
  </si>
  <si>
    <t>Productivity of 612 metres cubed per hour.</t>
  </si>
  <si>
    <t>Dozer D11T - &gt; 400m to &lt;= 450m push</t>
  </si>
  <si>
    <t>Productivity of 577 metres cubed per hour.</t>
  </si>
  <si>
    <t>Dozer D11T - &gt; 450m to &lt;= 500m push</t>
  </si>
  <si>
    <t>Productivity of 542 metres cubed per hour.</t>
  </si>
  <si>
    <t>Dozer D11T - &gt; 500m push</t>
  </si>
  <si>
    <t>Productivity of 528 metres cubed per hour.</t>
  </si>
  <si>
    <t>Dozer Waste dump, spoil_dump, TSF_embankment slope re_profiling and_shaping (area rate)</t>
  </si>
  <si>
    <t>Dozer D6R &lt;= 20m push</t>
  </si>
  <si>
    <t>per ha</t>
  </si>
  <si>
    <t>Enter area of land to be dozed for reshaping / reprofiling using dozer of shown size. If rate shows Too small the dozer cannot push over the shown length.</t>
  </si>
  <si>
    <t>Dozer D6R &gt; 50m to &lt;= 75m push</t>
  </si>
  <si>
    <t>Dozer D6R &gt; 75m to &lt;= 100m push</t>
  </si>
  <si>
    <t>Dozer D6R &gt; 100m to &lt;= 125m push</t>
  </si>
  <si>
    <t>Dozer D6R &gt; 125m to &lt;= 150m push</t>
  </si>
  <si>
    <t>Dozer D6R &gt; 150m to &lt;= 200m push</t>
  </si>
  <si>
    <t>Dozer D6R &gt; 200m to &lt;= 250m push</t>
  </si>
  <si>
    <t>Dozer D6R &gt; 250m to &lt;= 300m push</t>
  </si>
  <si>
    <t>Dozer D6R &gt; 300m to &lt;= 350m push</t>
  </si>
  <si>
    <t>Dozer D6R &gt; 350m to &lt;= 400m push</t>
  </si>
  <si>
    <t>Dozer D6R &gt; 400m to &lt;= 450m push</t>
  </si>
  <si>
    <t>Dozer D6R &gt; 450m to &lt;= 500m push</t>
  </si>
  <si>
    <t>Dozer D6R &gt; 500m push</t>
  </si>
  <si>
    <t>Dozer D7R &lt;= 20m push</t>
  </si>
  <si>
    <t>Dozer D7R &gt; 20m to &lt;= 50m push</t>
  </si>
  <si>
    <t>Dozer D7R &gt; 50m to &lt;= 75m push</t>
  </si>
  <si>
    <t>Dozer D7R &gt; 75m to &lt;= 100m push</t>
  </si>
  <si>
    <t>Dozer D7R &gt; 100m to &lt;= 125m push</t>
  </si>
  <si>
    <t>Dozer D7R &gt; 125m to &lt;= 150m push</t>
  </si>
  <si>
    <t>Dozer D7R &gt; 150m to &lt;= 200m push</t>
  </si>
  <si>
    <t>Dozer D7R &gt; 200m to &lt;= 250m push</t>
  </si>
  <si>
    <t>Dozer D7R &gt; 250m to &lt;= 300m push</t>
  </si>
  <si>
    <t>Dozer D7R &gt; 300m to &lt;= 350m push</t>
  </si>
  <si>
    <t>Dozer D7R &gt; 350m to &lt;= 400m push</t>
  </si>
  <si>
    <t>Dozer D7R &gt; 400m to &lt;= 450m push</t>
  </si>
  <si>
    <t>Dozer D7R &gt; 450m to &lt;= 500m push</t>
  </si>
  <si>
    <t>Dozer D7R &gt; 500m push</t>
  </si>
  <si>
    <t>Dozer D8R &lt;= 20m push</t>
  </si>
  <si>
    <t>Dozer D8R &gt; 20m to &lt;= 50m push</t>
  </si>
  <si>
    <t>Dozer D8R &gt; 50m to &lt;= 75m push</t>
  </si>
  <si>
    <t>Dozer D8R &gt; 75m to &lt;= 100m push</t>
  </si>
  <si>
    <t>Dozer D8R &gt; 100m to &lt;= 125m push</t>
  </si>
  <si>
    <t>Dozer D8R &gt; 125m to &lt;= 150m push</t>
  </si>
  <si>
    <t>Dozer D8R &gt; 150m to &lt;= 200m push</t>
  </si>
  <si>
    <t>Dozer D8R &gt; 200m to &lt;= 250m push</t>
  </si>
  <si>
    <t>Dozer D8R &gt; 250m to &lt;= 300m push</t>
  </si>
  <si>
    <t>Dozer D8R &gt; 300m to &lt;= 350m push</t>
  </si>
  <si>
    <t>Dozer D8R &gt; 350m to &lt;= 400m push</t>
  </si>
  <si>
    <t>Dozer D8R &gt; 400m to &lt;= 450m push</t>
  </si>
  <si>
    <t>Dozer D8R &gt; 450m to &lt;= 500m push</t>
  </si>
  <si>
    <t>Dozer D8R &gt; 500m push</t>
  </si>
  <si>
    <t>Dozer D9R &lt;= 20m push</t>
  </si>
  <si>
    <t>Dozer D9R &gt; 20m to &lt;= 50m push</t>
  </si>
  <si>
    <t>Dozer D9R &gt; 50m to &lt;= 75m push</t>
  </si>
  <si>
    <t>Dozer D9R &gt; 75m to &lt;= 100m push</t>
  </si>
  <si>
    <t>Dozer D9R &gt; 100m to &lt;= 125m push</t>
  </si>
  <si>
    <t>Dozer D9R &gt; 125m to &lt;= 150m push</t>
  </si>
  <si>
    <t>Dozer D9R &gt; 150m to &lt;= 200m push</t>
  </si>
  <si>
    <t>Dozer D9R &gt; 200m to &lt;= 250m push</t>
  </si>
  <si>
    <t>Dozer D9R &gt; 250m to &lt;= 300m push</t>
  </si>
  <si>
    <t>Dozer D9R &gt; 300m to &lt;= 350m push</t>
  </si>
  <si>
    <t>Dozer D9R &gt; 350m to &lt;= 400m push</t>
  </si>
  <si>
    <t>Dozer D9R &gt; 400m to &lt;= 450m push</t>
  </si>
  <si>
    <t>Dozer D9R &gt; 450m to &lt;= 500m push</t>
  </si>
  <si>
    <t>Dozer D9R &gt; 500m push</t>
  </si>
  <si>
    <t>Dozer D10T &lt;= 20m push</t>
  </si>
  <si>
    <t>Dozer D10T &gt; 20m to &lt;= 50m push</t>
  </si>
  <si>
    <t>Dozer D10T &gt; 50m to &lt;= 75m push</t>
  </si>
  <si>
    <t>Dozer D10T &gt; 75m to &lt;= 100m push</t>
  </si>
  <si>
    <t>Dozer D10T &gt; 100m to &lt;= 125m push</t>
  </si>
  <si>
    <t>Dozer D10T &gt; 125m to &lt;= 150m push</t>
  </si>
  <si>
    <t>Dozer D10T &gt; 150m to &lt;= 200m push</t>
  </si>
  <si>
    <t>Dozer D10T &gt; 200m to &lt;= 250m push</t>
  </si>
  <si>
    <t>Dozer D10T &gt; 250m to &lt;= 300m push</t>
  </si>
  <si>
    <t>Dozer D10T &gt; 300m to &lt;= 350m push</t>
  </si>
  <si>
    <t>Dozer D10T &gt; 350m to &lt;= 400m push</t>
  </si>
  <si>
    <t>Dozer D10T &gt; 400m to &lt;= 450m push</t>
  </si>
  <si>
    <t>Dozer D10T &gt; 450m to &lt;= 500m push</t>
  </si>
  <si>
    <t>Dozer D10T &gt; 500m push</t>
  </si>
  <si>
    <t>Dozer D11T &lt;= 20m push</t>
  </si>
  <si>
    <t>Dozer D11T &gt; 20m to &lt;= 50m push</t>
  </si>
  <si>
    <t>Dozer D11T &gt; 50m to &lt;= 75m push</t>
  </si>
  <si>
    <t>Dozer D11T &gt; 75m to &lt;= 100m push</t>
  </si>
  <si>
    <t>Dozer D11T &gt; 100m to &lt;= 125m push</t>
  </si>
  <si>
    <t>Dozer D11T &gt; 125m to &lt;= 150m push</t>
  </si>
  <si>
    <t>Dozer D11T &gt; 150m to &lt;= 200m push</t>
  </si>
  <si>
    <t>Dozer D11T &gt; 200m to &lt;= 250m push</t>
  </si>
  <si>
    <t>Dozer D11T &gt; 250m to &lt;= 300m push</t>
  </si>
  <si>
    <t>Dozer D11T &gt; 300m to &lt;= 350m push</t>
  </si>
  <si>
    <t>Dozer D11T &gt; 350m to &lt;= 400m push</t>
  </si>
  <si>
    <t>Dozer D11T &gt; 400m to &lt;= 450m push</t>
  </si>
  <si>
    <t>Dozer D11T &gt; 450m to &lt;= 500m push</t>
  </si>
  <si>
    <t>Dozer D11T &gt; 500m push</t>
  </si>
  <si>
    <t>Dozer Shape and doze to establish drainage / spreadcover / growth media / rock / mulch on slopes and flats</t>
  </si>
  <si>
    <t>Specific volume 2000m3/ha production rate varies with dozer size and angle.</t>
  </si>
  <si>
    <t>Enter area of land to be dozed for reshaping or spreading cover or to create drainage using dozer of shown size. If rate shows Too small the dozer cannot push on the shown slope.</t>
  </si>
  <si>
    <t>Dozer D6R &lt;=2.8 degrees</t>
  </si>
  <si>
    <t>Dozer D6R &gt;2.8&lt;=5.7 degrees</t>
  </si>
  <si>
    <t>Dozer D6R &gt;17.5 degrees</t>
  </si>
  <si>
    <t>Dozer D7R &lt;=2.8 degrees</t>
  </si>
  <si>
    <t>Dozer D7R &gt;2.8&lt;=5.7 degrees</t>
  </si>
  <si>
    <t>Dozer D7R &gt;5.7&lt;=8.5 degrees</t>
  </si>
  <si>
    <t>Dozer D7R &gt;8.5&lt;=14 degrees</t>
  </si>
  <si>
    <t>Dozer D7R &gt;14&lt;=17.5 degrees</t>
  </si>
  <si>
    <t>Dozer D7R &gt;17.5 degrees</t>
  </si>
  <si>
    <t>Dozer D8R 0 degrees</t>
  </si>
  <si>
    <t>Dozer D8R &lt;=2.8 degrees</t>
  </si>
  <si>
    <t>Dozer D8R &gt;2.8&lt;=5.7 degrees</t>
  </si>
  <si>
    <t>Dozer D8R &gt;5.7&lt;=8.5 degrees</t>
  </si>
  <si>
    <t>Dozer D8R &gt;8.5&lt;=14 degrees</t>
  </si>
  <si>
    <t>Dozer D8R &gt;14&lt;=17.5 degrees</t>
  </si>
  <si>
    <t>Dozer D8R &gt;17.5 degrees</t>
  </si>
  <si>
    <t>Dozer D9R 0 degrees</t>
  </si>
  <si>
    <t>Dozer D9R &lt;=2.8 degrees</t>
  </si>
  <si>
    <t>Dozer D9R &gt;2.8&lt;=5.7 degrees</t>
  </si>
  <si>
    <t>Dozer D9R &gt;5.7&lt;=8.5 degrees</t>
  </si>
  <si>
    <t>Dozer D9R &gt;8.5&lt;=14 degrees</t>
  </si>
  <si>
    <t>Dozer D9R &gt;14&lt;=17.5 degrees</t>
  </si>
  <si>
    <t>Dozer D9R &gt;17.5 degrees</t>
  </si>
  <si>
    <t>Dozer D10T &lt;=2.8 degrees</t>
  </si>
  <si>
    <t>Dozer D10T &gt;2.8&lt;=5.7 degrees</t>
  </si>
  <si>
    <t>Dozer D10T &gt;5.7&lt;=8.5 degrees</t>
  </si>
  <si>
    <t>Dozer D10T &gt;8.5&lt;=14 degrees</t>
  </si>
  <si>
    <t>Dozer D10T &gt;14&lt;=17.5 degrees</t>
  </si>
  <si>
    <t>Dozer D10T &gt;17.5 degrees</t>
  </si>
  <si>
    <t>Dozer D11T 0 degrees</t>
  </si>
  <si>
    <t>Dozer D11T &lt;=2.8 degrees</t>
  </si>
  <si>
    <t>Dozer D11T &gt;2.8&lt;=5.7 degrees</t>
  </si>
  <si>
    <t>Dozer D11T &gt;5.7&lt;=8.5 degrees</t>
  </si>
  <si>
    <t>Dozer D11T &gt;8.5&lt;=14 degrees</t>
  </si>
  <si>
    <t>Dozer D11T &gt;14&lt;=17.5 degrees</t>
  </si>
  <si>
    <t>Dozer D11T &gt;17.5 degrees</t>
  </si>
  <si>
    <t>Dozer Waste dump, spoil dump, TSF embankment slope reprofiling and shaping (volume rate)</t>
  </si>
  <si>
    <t>per m3</t>
  </si>
  <si>
    <t>Production rate varies with dozer size and length of push.</t>
  </si>
  <si>
    <t>Enter volume of soil to be dozed for reshaping / reprofiling using dozer of shown size. If rate shows Too small the dozer cannot push over the shown length.</t>
  </si>
  <si>
    <t>Drainage</t>
  </si>
  <si>
    <t>Fleet comprising Dozer D10T. Based on drain width at base of 4m, average depth of 1.5m, slope of 1 in 1.</t>
  </si>
  <si>
    <t>Enter the area (e.g. footprint of landform) over which drainage of shown width is required.</t>
  </si>
  <si>
    <t>Fleet comprising Dozer D10T. Based on drain width at base of 6m, average depth of 1.5m, slope of 1 in 1.</t>
  </si>
  <si>
    <t>Fleet comprising Dozer D10T. Based on drain width at base of 8m, average depth of 1.5m, slope of 1 in 1.</t>
  </si>
  <si>
    <t>Fleet comprising Dozer D10T. Based on drain width at base of 10m, average depth of 1.5m, slope of 1 in 1.</t>
  </si>
  <si>
    <t>Fleet comprising Excavator 340F, 345B , Dozer D10T, Loader 950M  for 16 hours per hectare.</t>
  </si>
  <si>
    <t>Enter the area (e.g. footprint of landform) over which drainage is required.</t>
  </si>
  <si>
    <t>Fleet comprising Excavator 340F, 345B , Dozer D10T, Grader 12M for 4 hours per hectare.</t>
  </si>
  <si>
    <t>Enter the area (e.g. footprint of landform)  over which works are required.</t>
  </si>
  <si>
    <t>Fleet comprising Dozer D9R, Slope &lt;=2.8 degrees width 4m.</t>
  </si>
  <si>
    <t>Enter the area over which cut through is required.</t>
  </si>
  <si>
    <t>Drill and Blast</t>
  </si>
  <si>
    <t>Powder factor 0.4 kg/m3, Bench height 20 m, Hole size 152 mm, Spacing 6 m, Drill rate 15 m/h, Explosives density 1200 kg/m3</t>
  </si>
  <si>
    <t>Enter volume of earth to drill and blast.</t>
  </si>
  <si>
    <t>Exploration Rate Set</t>
  </si>
  <si>
    <t>Rip only, width 6 m, cover Earthen, load and haul distance = &gt;1500 m to &lt;=2000 m, Fleet: Grader 14G,H,M , Dozer D6R, no growth media or seed.</t>
  </si>
  <si>
    <t>Enter length of track to be restored.</t>
  </si>
  <si>
    <t>Track / Park-up with No Cover (Compacted Earth) - Pasture</t>
  </si>
  <si>
    <t>Width 6 m, cover Earthen, load and haul distance = &gt;1500 m to &lt;=2000 m, Fleet: Grader 14G,H,M , Dozer D6R, growth media and pasture seed.</t>
  </si>
  <si>
    <t xml:space="preserve">Track / Park-up with No Cover (Compacted Earth) - Native </t>
  </si>
  <si>
    <t>Width 6 m, cover Earthen, load and haul distance = &gt;1500 m to &lt;=2000 m, Fleet: Grader 14G,H,M , Dozer D6R, growth media and native seed.</t>
  </si>
  <si>
    <t>Width 6 m, cover Earthen, load and haul distance = &gt;1500 m to &lt;=2000 m, Fleet: Grader 14G,H,M , Dozer D6R, no growth media or seed.</t>
  </si>
  <si>
    <t>Enter area of track to be restored.</t>
  </si>
  <si>
    <t>Rip only, cover Earthen, load and haul distance = &gt;1500 m to &lt;=2000 m, Fleet: Grader 14G,H,M , Dozer D8R, no growth media or seed.</t>
  </si>
  <si>
    <t>Enter area of laydown area to be restored.</t>
  </si>
  <si>
    <t>Cover Earthen, load and haul distance = &gt;1500 m to &lt;=2000 m, Fleet: Grader 14G,H,M , Dozer D8R, growth media and pasture seed.</t>
  </si>
  <si>
    <t>Cover Earthen, load and haul distance = &gt;1500 m to &lt;=2000 m, Fleet: Grader 14G,H,M , Dozer D8R, growth media and native seed.</t>
  </si>
  <si>
    <t>Cover Earthen, load and haul distance = &gt;1500 m to &lt;=2000 m, Fleet: Grader 14G,H,M , Dozer D8R, no growth media or seed.</t>
  </si>
  <si>
    <t>Enter number of dams to be restored.</t>
  </si>
  <si>
    <t>site</t>
  </si>
  <si>
    <t>Fleet comprising light vehicles and ancillary equipment.</t>
  </si>
  <si>
    <t>Enter number of mobilisations.</t>
  </si>
  <si>
    <t>Mobe Exploration &lt;=150 km</t>
  </si>
  <si>
    <t>Fleet comprising Dozer D6R, Grader 12M, light vehicles and ancillary equipment.</t>
  </si>
  <si>
    <t>Exploration - no heavy equipment &gt;150 &lt;=500 km</t>
  </si>
  <si>
    <t>Exploration &gt;150 &lt;=500 km</t>
  </si>
  <si>
    <t>Exploration - no heavy equipment &gt;500 &lt;=1000 km</t>
  </si>
  <si>
    <t>Exploration &gt;500 &lt;=1000 km</t>
  </si>
  <si>
    <t>Exploration - no heavy equipment &gt;1000 km</t>
  </si>
  <si>
    <t>Exploration &gt;1000 km</t>
  </si>
  <si>
    <t>Fencing</t>
  </si>
  <si>
    <t xml:space="preserve">
Allowance. Low fence designed to keep stock out of area.
</t>
  </si>
  <si>
    <t>Enter length of fence required.</t>
  </si>
  <si>
    <t>Barbed 5 strand cattle fence - no climb</t>
  </si>
  <si>
    <t xml:space="preserve">
Allowance. No climb fence designed to prevent humans entering the area.
</t>
  </si>
  <si>
    <t xml:space="preserve">
Allowance.
</t>
  </si>
  <si>
    <t xml:space="preserve">
Allowance
</t>
  </si>
  <si>
    <t>G</t>
  </si>
  <si>
    <t>Flares</t>
  </si>
  <si>
    <t>Flares for Gas Drainage</t>
  </si>
  <si>
    <t>flare</t>
  </si>
  <si>
    <t>Disconnect electrically and mechanically; transport blowers, gas system, and other equipment to storage for re-use; pull down and cut up stack; demolish concrete footings using fleet comprising Labour (General), Electrician, Mechanical fitter, Excavator 340F, 345B  with shears and hammer. Gravel surface removed with wider facility.</t>
  </si>
  <si>
    <t>Enter number of flare systems. Use separate rates for drainage wells and piping.</t>
  </si>
  <si>
    <t>Growth media &lt;=200 m</t>
  </si>
  <si>
    <t>Load and haul shown material over shown distance using fleet comprising varying numbers of Truck 740C (ADT), Loader 950M , Grader 14G,H,M , Water truck 19kL, Truck travel speed on-site - loaded 40km/h, Truck travel speed on-site - unloaded 50km/h. Thickness 0.15m.</t>
  </si>
  <si>
    <t>Enter area of land requiring revegetation.</t>
  </si>
  <si>
    <t>Growth media &gt;200 m to &lt;=500 m</t>
  </si>
  <si>
    <t>Growth media &gt;500 m to &lt;=1000 m</t>
  </si>
  <si>
    <t>Growth media &gt;1000 m to &lt;=1500 m</t>
  </si>
  <si>
    <t>Growth media &gt;1500 m to &lt;=2000 m</t>
  </si>
  <si>
    <t>Growth media &gt;2000 m to &lt;=2500 m</t>
  </si>
  <si>
    <t>Growth media &gt;2500 m to &lt;=3000 m</t>
  </si>
  <si>
    <t>Growth media &gt;3000 m to &lt;=4000 m</t>
  </si>
  <si>
    <t>Growth media &gt;4000 m to &lt;=5000 m</t>
  </si>
  <si>
    <t>Growth media &gt;5000 m to &lt;=6000 m</t>
  </si>
  <si>
    <t>Growth media &gt; 6000 m</t>
  </si>
  <si>
    <t>Small HAZMAT</t>
  </si>
  <si>
    <t>project</t>
  </si>
  <si>
    <t>Provisional sum to clean-up a small site (e.g. one mine infrastructure area and ≤2 pit top or laydown/storage areas) ensuring the demolition program is not interrupted due to potential contamination of waste streams. Example waste allowances: 1,000L of liquid waste disposal, 1,000L of oily water disposal, 100t of soil disposal. Project over 1 week. No PCB contaminated oil allowed for.</t>
  </si>
  <si>
    <t>Enter number of projects.</t>
  </si>
  <si>
    <t>Medium HAZMAT</t>
  </si>
  <si>
    <t>Labour intensive medium size contamination clean-ups  (e.g. two mine infrastructure areas and &gt;2 but ≤5 pit top or laydown/storage and plant areas). Example waste allowances: 5,000L of liquid waste disposal, 5,000L of oily water disposal, 1,000 t of soil disposal. Project over 3 weeks. No PCB contaminated oil allowed for.</t>
  </si>
  <si>
    <t>Large HAZMAT</t>
  </si>
  <si>
    <t>Very labour intensive. Example waste allowances: 20,000L of liquid waste disposal, 20,000L of oily water disposal, 5,000 t of soil disposal. Project over 6 weeks. No PCB contaminated oil allowed for.</t>
  </si>
  <si>
    <t>Disposal of Radiation Devices</t>
  </si>
  <si>
    <t>device</t>
  </si>
  <si>
    <t>Provisional sum for removal and disposal of monitoring devices on conveyors using a radiation source (e.g. Americium – 241, Plutonium – 238, Caesium - 137). Source Isotope type, quantity, strength, weight, source holder type, source holder weight, pick-up location (among others) will directly affect cost. </t>
  </si>
  <si>
    <t>Enter number of devices requiring disposal.</t>
  </si>
  <si>
    <t>Grader Rip</t>
  </si>
  <si>
    <t>Productivity of 1.1 hours per hectare.</t>
  </si>
  <si>
    <t>Productivity of 0.9 hours per hectare.</t>
  </si>
  <si>
    <t>Productivity of 0.8 hours per hectare.</t>
  </si>
  <si>
    <t>Grader Trim</t>
  </si>
  <si>
    <t>Enter area of land requiring reshaping and trimming.</t>
  </si>
  <si>
    <t>Productivity of 1.2 hours per hectare.</t>
  </si>
  <si>
    <t>Heap Leach Pads</t>
  </si>
  <si>
    <t>Ramp area 10% of footprint and 1 m cover. Working layer 0m, capillary break 0.6m, low permeability layer 0.5m, top rock cover 1.5m, no additonal capping, no ameloriants, growth media of thickness 0.15m, revegetation assumed 50% Pasture seed and 50% Native seed, permeability testing 1points/ha.</t>
  </si>
  <si>
    <t xml:space="preserve">Enter footprint of heap leach pads. High risk heap leach pads contain potentially acid forming material (PAF); other highly reactive materials (ARD/AMD/NMD); or  observed contaminated seepage capable of causing environmental harm. </t>
  </si>
  <si>
    <t>Ramp area 10% of footprint and 1 m cover. Working layer 0m, capillary break 0.3m, low permeability layer 0m, top rock cover 1m, no additonal capping, no ameloriants, growth media of thickness 0.15m, revegetation assumed 50% Pasture seed and 50% Native seed, permeability testing 1points/ha.</t>
  </si>
  <si>
    <t>Enter footprint of heap leach pads. Moderate risk heap leach pads have one or more of the following characteristics:
- Moderately reactive materials (ARD/AMD/NMD).
- Hypersaline tailings that could impact on the proposed end land use.</t>
  </si>
  <si>
    <t>Ramp area 10% of footprint and 1 m cover. Working layer 0m, capillary break 0m, low permeability layer 0m, top rock cover 0.5m, no additonal capping, no ameloriants, growth media of thickness 0.15m, revegetation assumed 50% Pasture seed and 50% Native seed, permeability testing 1points/ha.</t>
  </si>
  <si>
    <t>Enter footprint of heap leach pads. Low heap leach pads have low reactive materials (ARD/AMD/NMD).</t>
  </si>
  <si>
    <t>Ramp area 10% of footprint and 1 m cover. Working layer 0m, capillary break 0m, low permeability layer 0m, top rock cover 0m, no additonal capping, no ameloriants, growth media of thickness 0.15m, revegetation assumed 50% Pasture seed and 50% Native seed, permeability testing 1points/ha.</t>
  </si>
  <si>
    <t>Enter footprint of heap leach pads. Very low heap leach pad have no potentially harmful materials (i.e. no acid forming, reactive, or hypersaline materials).</t>
  </si>
  <si>
    <t>Load and Haul Soil including contaminated soil</t>
  </si>
  <si>
    <t>Jump Dn</t>
  </si>
  <si>
    <t>Small - soil - &lt;=200 m</t>
  </si>
  <si>
    <t>LCM</t>
  </si>
  <si>
    <t>Load and haul shown material over shown distance using fleet comprising varying numbers of Truck 740C (ADT), Loader 950M , Grader 14G,H,M , Water truck 19kL, Truck travel speed on-site - loaded 40km/h, Truck travel speed on-site - unloaded 50km/h.</t>
  </si>
  <si>
    <t>Enter the volume of loose cubic metres of soil to be loaded and hauled over the shown distance using the shown fleet.</t>
  </si>
  <si>
    <t>Small - soil - &gt;200 m to &lt;=500 m</t>
  </si>
  <si>
    <t>Small - soil - &gt;500 m to &lt;=1000 m</t>
  </si>
  <si>
    <t>Small - soil - &gt;1000 m to &lt;=1500 m</t>
  </si>
  <si>
    <t>Small - soil - &gt;2000 m to &lt;=2500 m</t>
  </si>
  <si>
    <t>Small - soil - &gt;3000 m to &lt;=4000 m</t>
  </si>
  <si>
    <t>Small - soil - &gt;4000 m to &lt;=5000 m</t>
  </si>
  <si>
    <t>Small - soil - &gt;5000 m to &lt;=6000 m</t>
  </si>
  <si>
    <t>Small - soil - &gt; 6000 m</t>
  </si>
  <si>
    <t>Load and Haul Stabilised Material</t>
  </si>
  <si>
    <t>Small -stabilised - &lt;=200 m</t>
  </si>
  <si>
    <t>Enter the volume of loose cubic metres of stabilised material to be loaded and hauled over the shown distance using the shown fleet.</t>
  </si>
  <si>
    <t>Small -stabilised - &gt;1000 m to &lt;=1500 m</t>
  </si>
  <si>
    <t>Small -stabilised - &gt;2000 m to &lt;=2500 m</t>
  </si>
  <si>
    <t>Small -stabilised - &gt;3000 m to &lt;=4000 m</t>
  </si>
  <si>
    <t>Small -stabilised - &gt;4000 m to &lt;=5000 m</t>
  </si>
  <si>
    <t>Small -stabilised - &gt;5000 m to &lt;=6000 m</t>
  </si>
  <si>
    <t>Small -stabilised - &gt; 6000 m</t>
  </si>
  <si>
    <t>Load and Haul Fill</t>
  </si>
  <si>
    <t>Load and haul shown material over shown distance using fleet comprising varying numbers of Truck 740C (ADT), Loader 950M , Grader 14G,H,M , Water truck 19kL, Dozer D9R, Truck travel speed on-site - loaded 40km/h, Truck travel speed on-site - unloaded 50km/h.</t>
  </si>
  <si>
    <t>Enter the volume of loose cubic metres of fill to be loaded and hauled over the shown distance using the shown fleet.</t>
  </si>
  <si>
    <t>Small - Fill - &gt;200 m to &lt;=500 m</t>
  </si>
  <si>
    <t>Small - Fill - &gt;2000 m to &lt;=2500 m</t>
  </si>
  <si>
    <t>Small - Fill - &gt;4000 m to &lt;=5000 m</t>
  </si>
  <si>
    <t>Small - Fill - &gt; 6000 m</t>
  </si>
  <si>
    <t>Medium - Fill - &lt;=200 m</t>
  </si>
  <si>
    <t>Load and haul shown material over shown distance using fleet comprising varying numbers of Truck 777D,G, Excavator PC 1250 , Grader 14G,H,M , Water truck 30kL, Dozer D10T, Truck travel speed on-site - loaded 40km/h, Truck travel speed on-site - unloaded 50km/h.</t>
  </si>
  <si>
    <t>Medium - Fill - &gt;200 m to &lt;=500 m</t>
  </si>
  <si>
    <t>Medium - Fill - &gt;1500 m to &lt;=2000 m</t>
  </si>
  <si>
    <t>Medium - Fill - &gt;2000 m to &lt;=2500 m</t>
  </si>
  <si>
    <t>Medium - Fill - &gt;3000 m to &lt;=4000 m</t>
  </si>
  <si>
    <t>Medium - Fill - &gt;5000 m to &lt;=6000 m</t>
  </si>
  <si>
    <t>Medium - Fill - &gt; 6000 m</t>
  </si>
  <si>
    <t>Large - Fill - &lt;=200 m</t>
  </si>
  <si>
    <t>Load and haul shown material over shown distance using fleet comprising varying numbers of Truck 793F, Excavator EX 2500 , Grader 16G,H,M , Water Truck 785D , Dozer D11T, Truck travel speed on-site - loaded 40km/h, Truck travel speed on-site - unloaded 50km/h.</t>
  </si>
  <si>
    <t>Large - Fill - &gt;200 m to &lt;=500 m</t>
  </si>
  <si>
    <t>Large - Fill - &gt;500 m to &lt;=1000 m</t>
  </si>
  <si>
    <t>Large - Fill - &gt;1000 m to &lt;=1500 m</t>
  </si>
  <si>
    <t>Large - Fill - &gt;1500 m to &lt;=2000 m</t>
  </si>
  <si>
    <t>Large - Fill - &gt;2000 m to &lt;=2500 m</t>
  </si>
  <si>
    <t>Large - Fill - &gt;2500 m to &lt;=3000 m</t>
  </si>
  <si>
    <t>Large - Fill - &gt;3000 m to &lt;=4000 m</t>
  </si>
  <si>
    <t>Large - Fill - &gt;4000 m to &lt;=5000 m</t>
  </si>
  <si>
    <t>Large - Fill - &gt;5000 m to &lt;=6000 m</t>
  </si>
  <si>
    <t>Large - Fill - &gt; 6000 m</t>
  </si>
  <si>
    <t>Load and Haul Growth media and Ameliorants and other materials (volume)</t>
  </si>
  <si>
    <t>m3-km</t>
  </si>
  <si>
    <t>Load and long haul shown material over shown distance using fleet comprising varying numbers of Truck semi-tipper, Loader 980M , Truck travel speed off-site - loaded 90km/h, Truck travel speed off-site - unloaded 95km/h, Loader Cycle Time 4min, Truck load 31.25m3/load.</t>
  </si>
  <si>
    <t>Used with mass quantity entered by user or calculated and distance from source of growth media or ameliorants.</t>
  </si>
  <si>
    <t>5 to 10 km</t>
  </si>
  <si>
    <t>60 to 70 km</t>
  </si>
  <si>
    <t>70 to 80 km</t>
  </si>
  <si>
    <t>80 to 90 km</t>
  </si>
  <si>
    <t>90 to 100 km</t>
  </si>
  <si>
    <t>100 to 150 km</t>
  </si>
  <si>
    <t>150 to 200 km</t>
  </si>
  <si>
    <t>&gt; 250 km</t>
  </si>
  <si>
    <t>Load and Haul Growth media and Ameliorants and other materials (mass)</t>
  </si>
  <si>
    <t>Used with mass quantity entered by user or calculated and distance to cart sand.</t>
  </si>
  <si>
    <t>Load and Haul Clay</t>
  </si>
  <si>
    <t>Used with mass quantity entered by user or calculated and distance to cart clay.</t>
  </si>
  <si>
    <t>Load and Haul Concrete Rubble</t>
  </si>
  <si>
    <t>Load and long haul shown material over shown distance using fleet comprising varying numbers of Truck semi-tipper, Loader 980M , Excavator 340F, 345B  with Hammer H-160 (fits 340/345) and Grapple G330 (fits 340/374), Water truck 19kL, Truck travel speed off-site - loaded 90km/h, Truck travel speed off-site - unloaded 95km/h, Excavator Cycle Time 0.5min, Truck load, 16m3/load.</t>
  </si>
  <si>
    <t>Used with mass quantity entered by user or calculated and distance to cart rubble.</t>
  </si>
  <si>
    <t>Load and Haul Steel</t>
  </si>
  <si>
    <t>Load and long haul shown material over shown distance using fleet comprising varying numbers of Truck semi-tipper, Excavator 340F, 345B  with Shears S365 (fits 330/340) and Grapple G330 (fits 340/374), Truck travel speed off-site - loaded 90km/h, Truck travel speed off-site - unloaded 95km/h, Excavator Cycle Time 0.5min, Truck load 40t/load.</t>
  </si>
  <si>
    <t>Used with mass quantity entered by user or calculated and distance to cart scrap steel and similar material.</t>
  </si>
  <si>
    <t>Load and Haul Concrete for Plugging</t>
  </si>
  <si>
    <t>Load and long haul shown material over shown distance using fleet comprising varying numbers of Concrete truck, Labour (General), Haul Speed (Flat/Loaded) 90km/h, Haul Speed (Flat/Unloaded) 95km/h, Truck load 8m3/load.</t>
  </si>
  <si>
    <t>Used with volume quantity entered by user or calculated and distance from supply of concrete for plugging.</t>
  </si>
  <si>
    <t>Load and Haul Oil</t>
  </si>
  <si>
    <t>kL-km</t>
  </si>
  <si>
    <t>Load and long haul shown material over shown distance using fleet comprising varying numbers of Truck vacuum tanker, Labour (General), Haul Speed (Flat/Loaded) 90km/h, Haul Speed (Flat/Unloaded) 95km/h, pumping rate 9 kL/h, Truck capacity 18kL.</t>
  </si>
  <si>
    <t xml:space="preserve">Used with volume quantity entered by user or calculated and distance to oil disposal site. </t>
  </si>
  <si>
    <t>Load and Haul Water</t>
  </si>
  <si>
    <t>Load and long haul shown material over shown distance using fleet comprising varying numbers of Truck vacuum tanker, Labour (General), Haul Speed (Flat/Loaded) 90km/h, Haul Speed (Flat/Unloaded) 95km/h, pumping rate 10 kL/h, Truck capacity 18kL.</t>
  </si>
  <si>
    <t xml:space="preserve">Used with volume quantity entered by user or calculated and distance to water disposal site. </t>
  </si>
  <si>
    <t>Load and Haul Brine</t>
  </si>
  <si>
    <t xml:space="preserve">Used with volume quantity entered by user or calculated and distance to brine disposal site. </t>
  </si>
  <si>
    <t>Loading</t>
  </si>
  <si>
    <t>Allowance based on contractor estimates.</t>
  </si>
  <si>
    <t>Maintenance of Rehabilitated and Buffer Areas</t>
  </si>
  <si>
    <t>Inspection speed 5km/h, inspection width 5m, 10 baits/ha. Allowance for equipment.</t>
  </si>
  <si>
    <t>Enter area to be inspected.</t>
  </si>
  <si>
    <t>Fleet comprising Dozer D6R.</t>
  </si>
  <si>
    <t>Enter area to be managed.</t>
  </si>
  <si>
    <t>Enter area to be repaired.</t>
  </si>
  <si>
    <t>Mobilisation - Mines</t>
  </si>
  <si>
    <t>Fleet comprising 1XDozer D8R, 3XDozer D9R, 1XDozer D10T, 2XGrader 14G,H,M , 1XExcavator 374F , 1XLoader 980M , 2XService truck, 8XLight vehicles, 10XOther ancillary equipment.</t>
  </si>
  <si>
    <t>Enter number of fleet mobilisations.</t>
  </si>
  <si>
    <t>Fleet comprising 2XDozer D10T, 2XDozer D11T, 1XGrader 14G,H,M , 1XGrader 16G,H,M , 1XExcavator PC 1250 , 1XLoader 980M , 1XLoader 992G,K, 3XService truck, 9XLight vehicles, 10XOther ancillary equipment.</t>
  </si>
  <si>
    <t>Fleet comprising 2XDozer D10T, 2XDozer D11T, 1XGrader 14G,H,M , 1XGrader 16G,H,M , 1XExcavator EX 2500 , 1XLoader 992G,K, 1XLoader 980M , 4XService truck, 9XLight vehicles, 12XOther ancillary equipment.</t>
  </si>
  <si>
    <t>Fleet comprising 1XDozer D10T, 2XDozer D11T, 1XGrader 14G,H,M , 1XGrader 16G,H,M , 1XShovel Hydraulic CAT 6090 , 1XLoader 992G,K, 1XLoader 980M , 4XService truck, 9XLight vehicles, 12XOther ancillary equipment.</t>
  </si>
  <si>
    <t>Small Fleet &gt;150 &lt;=500 km</t>
  </si>
  <si>
    <t>Medium Fleet &gt;150 &lt;=500 km</t>
  </si>
  <si>
    <t>Large Fleet &gt;150 &lt;=500 km</t>
  </si>
  <si>
    <t>Truck / shovel &gt;150 &lt;=500 km</t>
  </si>
  <si>
    <t>Small Fleet &gt;500 &lt;=1000 km</t>
  </si>
  <si>
    <t>Medium Fleet &gt;500 &lt;=1000 km</t>
  </si>
  <si>
    <t>Large Fleet &gt;500 &lt;=1000 km</t>
  </si>
  <si>
    <t>Truck / shovel &gt;500 &lt;=1000 km</t>
  </si>
  <si>
    <t>Small Fleet &gt;1000 km</t>
  </si>
  <si>
    <t>Medium Fleet &gt;1000 km</t>
  </si>
  <si>
    <t>Large Fleet &gt;1000 km</t>
  </si>
  <si>
    <t>Truck / shovel &gt;1000 km</t>
  </si>
  <si>
    <t>Fleet comprising Dozer D8R, Grader 12M, light vehicles and ancillary equipment.</t>
  </si>
  <si>
    <t>Overburden Emplacement Areas</t>
  </si>
  <si>
    <t>Ramps area 10% of footprint and 0.5m cover. Working layer 0m, capillary break 0.6m, low permeability layer 0.5m, top rock cover 1.5m, no additonal capping, no ameloriants, growth media of thickness 0.15m, revegetation assumed 50% Pasture seed and 50% Native seed, permeability testing 1points/ha.</t>
  </si>
  <si>
    <t xml:space="preserve">Enter footprint of waste structure / stockpile. High risk structures contain potentially acid forming material (PAF); other highly reactive materials (ARD/AMD/NMD); or  observed contaminated seepage capable of causing environmental harm. </t>
  </si>
  <si>
    <t>Ramps area 10% of footprint and 0.5m cover. Working layer 0m, capillary break 0.3m, low permeability layer 0m, top rock cover 1m, no additonal capping, no ameloriants, growth media of thickness 0.15m, revegetation assumed 50% Pasture seed and 50% Native seed, permeability testing 1points/ha.</t>
  </si>
  <si>
    <t>Enter footprint of waste structure / stockpile.Moderate risk structures have one or more of the following characteristics:
- Moderately reactive materials (ARD/AMD/NMD).
- Hypersaline tailings that could impact on the proposed end land use.</t>
  </si>
  <si>
    <t>Ramps area 10% of footprint and 0.5m cover. Working layer 0m, capillary break 0m, low permeability layer 0m, top rock cover 0.5m, no additonal capping, no ameloriants, growth media of thickness 0.15m, revegetation assumed 50% Pasture seed and 50% Native seed, permeability testing 1points/ha.</t>
  </si>
  <si>
    <t>Enter footprint of waste structure / stockpile. Low risk structures have low reactive materials (ARD/AMD/NMD).</t>
  </si>
  <si>
    <t>Ramps area 10% of footprint and 0.5m cover. Working layer 0m, capillary break 0m, low permeability layer 0m, top rock cover 0m, no additonal capping, no ameloriants, growth media of thickness 0.15m, revegetation assumed 50% Pasture seed and 50% Native seed, permeability testing 1points/ha.</t>
  </si>
  <si>
    <t>Enter footprint of waste structure / stockpile. Very low risk structures have no potentially harmful materials (i.e. no acid forming, reactive, or hypersaline materials).</t>
  </si>
  <si>
    <t>Bulk push assumes 20 m high dump, 5H:1V, 20% slope. Growth media of thickness 0.15m, revegetation assumed 50% Pasture seed and 50% Native seed.</t>
  </si>
  <si>
    <t>Enter footprint of waste structure / stockpile.</t>
  </si>
  <si>
    <t>Growth media of thickness 0m, revegetation assumed 50% Pasture seed and 50% Native seed.</t>
  </si>
  <si>
    <t>Pipelines</t>
  </si>
  <si>
    <t>Purge with air, Excavate down to pipe and remove, Cut Linear Structure, Load and Transport Plastic, fleet comprising Mechanical fitter, Labour (General), Air Compressor + tools, Excavator 320C,F  with shears, Truck semi-tipper, Truck Flatbed, dispose off-site.</t>
  </si>
  <si>
    <t>Enter length of pipe.</t>
  </si>
  <si>
    <t>Remove Buried Plastic Pipeline &gt;0.3 &lt;=0.5m</t>
  </si>
  <si>
    <t>Remove Buried Plastic Pipeline &gt;0.5 &lt;=1m</t>
  </si>
  <si>
    <t>Remove Above ground Plastic Pipeline &gt;0.5 &lt;=1m. Supported</t>
  </si>
  <si>
    <t>Remove Above ground Plastic Pipeline &gt;0.3 &lt;=0.5m. Unsupported</t>
  </si>
  <si>
    <t>Remove Above ground Plastic Pipeline &gt;0.5 &lt;=1m. Unsupported</t>
  </si>
  <si>
    <t>Remove Buried Steel Pipeline &lt;=0.1m</t>
  </si>
  <si>
    <t>Remove Buried Steel Pipeline &gt;0.1 &lt;=0.25m</t>
  </si>
  <si>
    <t>Remove Buried Steel Pipeline &gt;0.25 &lt;=0.5m</t>
  </si>
  <si>
    <t>Remove Above ground Steel Pipeline &lt;=0.1m, Supported</t>
  </si>
  <si>
    <t>Remove Above ground Steel Pipeline &gt;0.25 &lt;=0.5m, Supported</t>
  </si>
  <si>
    <t>Remove Above ground Steel Pipeline &lt;=0.1m, Unsupported</t>
  </si>
  <si>
    <t>Remove Above ground Steel Pipeline &gt;0.25 &lt;=0.5m, Unsupported</t>
  </si>
  <si>
    <t>Plant and Seed</t>
  </si>
  <si>
    <t>Buy Pasture seed at $150 per kg, apply at 5kg per ha. Buy fertiliser at $1126 per t Apply fertiliser at 0.3t/ha. Buy water at $1kL. Apply water to field capacity. Fleet comprising Dozer D6R,Utility Truck, Labour (General).</t>
  </si>
  <si>
    <t>Enter area to apply treatment.</t>
  </si>
  <si>
    <t>Buy Pasture seed at $150 per kg, apply at 5kg per ha. Buy fertiliser at $1126 per t Apply fertiliser at 0.3t/ha. Buy water at $1kL. Apply water to field capacity. Fleet comprising Utility Truck, Labour (General).</t>
  </si>
  <si>
    <t>Buy Native seed at $350 per kg, apply at 7kg per ha. Buy fertiliser at $500 per t Apply fertiliser at 0.1t/ha. Buy water at $1kL. Apply water to field capacity. Fleet comprising Dozer D6R,Utility Truck, Labour (General).</t>
  </si>
  <si>
    <t>Buy Native seed at $350 per kg, apply at 7kg per ha. Buy fertiliser at $500 per t Apply fertiliser at 0.1t/ha. Buy water at $1kL. Apply water to field capacity. Fleet comprising Utility Truck, Labour (General).</t>
  </si>
  <si>
    <t>Buy Tube stock at $5 per item, apply at 150 item per ha. Buy fertiliser at $500 per t Apply fertiliser at 0.1t/ha. Buy water at $1kL. Apply water to field capacity. Fleet comprising Utility Truck, Labour (General).</t>
  </si>
  <si>
    <t>Buy Trees - mature at $15 per item, apply at 75 item per ha. Buy fertiliser at $500 per t Apply fertiliser at 0.1t/ha. Buy water at $1kL. Apply water to field capacity. Fleet comprising Truck Flatbed,Backhoe_428F 4WD , Utility Truck, Labour (General).</t>
  </si>
  <si>
    <t>Mulch applied at 200kg/ha, binder applied at 12kg/ha. Buy pasture seed at $17.65 per kg, apply at 42.5kg per ha. Fertiliser incorporated into mix. Fertiliser incorporated into mix. Water incorporated into mix. Water incorporated into mix. Fleet comprising Truck Flatbed, Hydro-rig with fuel and crew.</t>
  </si>
  <si>
    <t>Enter area to apply treatment. Short term-application for flat surfaces.</t>
  </si>
  <si>
    <t>Mulch applied at 200kg/ha, binder applied at 12kg/ha. Buy native seed at $920 per kg, apply at 12.5kg per ha. Fertiliser incorporated into mix. Fertiliser incorporated into mix. Water incorporated into mix. Water incorporated into mix. Fleet comprising Truck Flatbed, Hydro-rig with fuel and crew.</t>
  </si>
  <si>
    <t>Spray Hydromulch - BFM - pasture seed</t>
  </si>
  <si>
    <t>Mulch applied at 5000kg/ha, binder included in mix.. Buy pasture seed at $17.65 per kg, apply at 42.5kg per ha. Fertiliser incorporated into mix. Fertiliser incorporated into mix. Water incorporated into mix. Water incorporated into mix. Fleet comprising Truck Flatbed, Hydro-rig with fuel and crew.</t>
  </si>
  <si>
    <t>Enter area to apply treatment. Commonly used on flats and slopes. BFM = bonded fibre matrix.</t>
  </si>
  <si>
    <t>Spray Hydromulch - BFM - native seed</t>
  </si>
  <si>
    <t>Mulch applied at 5000kg/ha, binder included in mix.. Buy native seed at $920 per kg, apply at 12.5kg per ha. Fertiliser incorporated into mix. Fertiliser incorporated into mix. Water incorporated into mix. Water incorporated into mix. Fleet comprising Truck Flatbed, Hydro-rig with fuel and crew.</t>
  </si>
  <si>
    <t>Spray Hydromulch - FRM - pasture seed</t>
  </si>
  <si>
    <t>Mulch applied at 6500kg/ha, binder included in mix.. Buy pasture seed at $17.65 per kg, apply at 42.5kg per ha. Fertiliser incorporated into mix. Fertiliser incorporated into mix. Water incorporated into mix. Water incorporated into mix. Fleet comprising Truck Flatbed, Hydro-rig with fuel and crew.</t>
  </si>
  <si>
    <t>Enter area to apply treatment.Commonly used on steep slopes. FRM = fibre reinforced matrix.</t>
  </si>
  <si>
    <t>Spray Hydromulch - FRM - native seed</t>
  </si>
  <si>
    <t>Mulch applied at 6500kg/ha, binder included in mix.. Buy native seed at $920 per kg, apply at 12.5kg per ha. Fertiliser incorporated into mix. Fertiliser incorporated into mix. Water incorporated into mix. Water incorporated into mix. Fleet comprising Truck Flatbed, Hydro-rig with fuel and crew.</t>
  </si>
  <si>
    <t>Mulch applied at 10000kg/ha.. Buy pasture seed at $17.65 per kg, apply at 42.5kg per ha. Fertiliser incorporated into mix. Fertiliser incorporated into mix. Water incorporated into mix. Water incorporated into mix. Fleet comprising Truck Flatbed, Hydro-rig with fuel and crew.</t>
  </si>
  <si>
    <t>Enter area to apply treatment. BGM = biotic growth medium.</t>
  </si>
  <si>
    <t>Mulch applied at 10000kg/ha.. Buy native seed at $920 per kg, apply at 12.5kg per ha. Fertiliser incorporated into mix. Fertiliser incorporated into mix. Water incorporated into mix. Water incorporated into mix. Fleet comprising Truck Flatbed, Hydro-rig with fuel and crew.</t>
  </si>
  <si>
    <t>Plant and Seed (task rates)</t>
  </si>
  <si>
    <t>Rate shown above</t>
  </si>
  <si>
    <t>Spray Hydromulch - BFM - pasture seed - apply / plant</t>
  </si>
  <si>
    <t>Spray Hydromulch - BFM - native seed - apply / plant</t>
  </si>
  <si>
    <t>Spray Hydromulch - FRM - pasture seed - apply / plant</t>
  </si>
  <si>
    <t>Spray Hydromulch - FRM - native seed - apply / plant</t>
  </si>
  <si>
    <t>Buy fertiliser at $1126 per t</t>
  </si>
  <si>
    <t>Buy fertiliser at $500 per t</t>
  </si>
  <si>
    <t>Fertiliser incorporated into mix.</t>
  </si>
  <si>
    <t>Spray Hydromulch - BFM - pasture seed - buy fertiliser</t>
  </si>
  <si>
    <t>Spray Hydromulch - BFM - native seed - buy fertiliser</t>
  </si>
  <si>
    <t>Spray Hydromulch - FRM - pasture seed - buy fertiliser</t>
  </si>
  <si>
    <t>Spray Hydromulch - FRM - native seed - buy fertiliser</t>
  </si>
  <si>
    <t>Apply fertiliser at 0.3t/ha.</t>
  </si>
  <si>
    <t>Apply fertiliser at 0.1t/ha.</t>
  </si>
  <si>
    <t>Spray Hydromulch - BFM - pasture seed - apply fertiliser</t>
  </si>
  <si>
    <t>Spray Hydromulch - BFM - native seed - apply fertiliser</t>
  </si>
  <si>
    <t>Spray Hydromulch - FRM - pasture seed - apply fertiliser</t>
  </si>
  <si>
    <t>Spray Hydromulch - FRM - native seed - apply fertiliser</t>
  </si>
  <si>
    <t>Buy water at $1kL.</t>
  </si>
  <si>
    <t>Water incorporated into mix.</t>
  </si>
  <si>
    <t>Spray Hydromulch - BFM - pasture seed - water</t>
  </si>
  <si>
    <t>Spray Hydromulch - BFM - native seed - water</t>
  </si>
  <si>
    <t>Spray Hydromulch - FRM - pasture seed - water</t>
  </si>
  <si>
    <t>Spray Hydromulch - FRM - native seed - water</t>
  </si>
  <si>
    <t>Apply water to field capacity.</t>
  </si>
  <si>
    <t>Spray Hydromulch - BFM - pasture seed - apply water</t>
  </si>
  <si>
    <t>Spray Hydromulch - BFM - native seed - apply water</t>
  </si>
  <si>
    <t>Spray Hydromulch - FRM - pasture seed - apply water</t>
  </si>
  <si>
    <t>Spray Hydromulch - FRM - native seed - apply water</t>
  </si>
  <si>
    <t>Rail</t>
  </si>
  <si>
    <t>Remove Rail line; Load and transport steel; Remove Ballast; Remove concrete ties and foundations; Remove, load and transport incidental waste; Reshaping; Growth Media; Revegetate. Fleet comprising Excavator 340F, 345B  with grapple and shears, Dozer D9R, Grader 14G,H,M , Water truck 19kL and Labour (General). Length of tie 2m. Specific mass of rail 60kg/m. Railway gauge 1.4m, Ballast width 2m, Ballast depth 0.3m, growth media from &gt;200 m to &lt;=500 m.</t>
  </si>
  <si>
    <t>Enter length of rail line to be demolished (two tracks is considered one line).</t>
  </si>
  <si>
    <t>Prepare for removal; electrically and mechanically disconnect; remove and dispose associated buildings, tanks and vessels, pipe, and cable tray; demolish concrete footings. Fleet comprising Foreperson, 2XElectrician, 4XMechanical fitter, 8XLabour (General), Crane 50 tonne , Excavator 340F, 345B  with grapple, shears and hammer. Footprint 2000m2. No hardstand removal or revegation included.</t>
  </si>
  <si>
    <t>Enter footprint of rail facility to demolish. Enter any land rehabilitation to section in Beneficiation.</t>
  </si>
  <si>
    <t>Power Poles and Communications Towers</t>
  </si>
  <si>
    <t>Power company de-energise, Remove and dispose cables; Remove and dispose poles; demolish concrete footings; Grade and seed. Fleet comprising Excavator 374F  with shears, Excavator 340F, 345B  with hammer, Work platform, Electrician, Labour (General). Load and haul for disposal 50 to 60 km one way distance. Specific mass of cables 0.3kg/m.</t>
  </si>
  <si>
    <t>Enter length of power lines and poles to demolish.</t>
  </si>
  <si>
    <t>Power company de-energise, Remove and dispose cables; Remove and dispose poles; demolish concrete footings; Grade and seed. Fleet comprising Excavator 374F  with shears, Excavator 340F, 345B  with hammer, Work platform, Electrician, Labour (General). Load and haul for disposal 50 to 60 km one way distance. Specific mass of cables 0.1kg/m.</t>
  </si>
  <si>
    <t>Communications Tower</t>
  </si>
  <si>
    <t>Enter number of communication towers to demolish.</t>
  </si>
  <si>
    <t>Road and Rail Overpasses</t>
  </si>
  <si>
    <t>overpass</t>
  </si>
  <si>
    <t>Prepare Item for Removal; Explosive Demolition to bring overpass down; Concrete Demolition and Remove; Steel Removal ; Demolish Approaches; Grade and seed. Footprint of span 250m2, Paving - panel width (across) 25m, Paving concrete thickness 0.2mm, Columns height 3.6m. Fleet comprising several Excavator 385BL, 390F  with hammer and grapple, Water truck 19kL, Labour (General), Foreperson, Excavator 340F, 345B  with shears, grapple and hammer.</t>
  </si>
  <si>
    <t>Enter number of overpasses to demolish.</t>
  </si>
  <si>
    <t>Prepare Item for Removal; Explosive Demolition to bring overpass down; Concrete Demolition and Remove; Steel Removal ; Demolish Approaches; Grade and seed. Footprint of span 500m2, Paving - panel width (across) 25m, Paving concrete thickness 0.2mm, Columns height 3.6m. Fleet comprising several Excavator 385BL, 390F  with hammer and grapple, Water truck 19kL, Labour (General), Foreperson, Excavator 340F, 345B  with shears, grapple and hammer.</t>
  </si>
  <si>
    <t>Prepare Item for Removal; Explosive Demolition to bring overpass down; Concrete Demolition and Remove; Steel Removal ; Demolish Approaches; Grade and seed. Footprint of span 2000m2, Paving - panel width (across) 25m, Paving concrete thickness 0.2mm, Columns height 3.6m. Fleet comprising several Excavator 385BL, 390F  with hammer and grapple, Excavator PC 1900 , Water truck 19kL, Labour (General), Foreperson, Excavator 340F, 345B  with shears, grapple and hammer.</t>
  </si>
  <si>
    <t>Safety Bund for Pits</t>
  </si>
  <si>
    <t>Activity: Construct open pit abandonment bunding</t>
  </si>
  <si>
    <t>$/km of bund</t>
  </si>
  <si>
    <t>Construct bund by excavating local material for placement using fleet of grader, Excavator 340F, 345B , Dozer D6R, Loader 950M . Bund height 2.5m, base width 5m.</t>
  </si>
  <si>
    <t>Enter length of bund to construct using shown method.</t>
  </si>
  <si>
    <t>Construct bund by loading and hauling material for placement using small fleet transporting rock from 1.5 to 2.0 km distant. Bund height 2.5m, base width 5m.</t>
  </si>
  <si>
    <t>Shafts and openings</t>
  </si>
  <si>
    <t>Concrete plugging</t>
  </si>
  <si>
    <t>plug-m2</t>
  </si>
  <si>
    <t>Thickness of total plug  3m. Fleet comprising Concrete truck and Labour (General). Capacity of concrete trucks 8m3, Pumping rate 70m3/h.</t>
  </si>
  <si>
    <t>Enter area of shaft to concrete plug.</t>
  </si>
  <si>
    <t xml:space="preserve"> Seal small adits (width ≤3 m) accessible by men and/or machinery, bulkhead. </t>
  </si>
  <si>
    <t>Adit</t>
  </si>
  <si>
    <t>Backfill with appropriate material against a concrete bulkhead existing or to be constructed. Includes reshaping and rehabilitation of the batter around the entrance of the adit.Thickness of total plug  5m. Fleet comprising Concrete truck and Labour (General). Capacity of concrete trucks 8m3, Pumping rate 70m3/h.</t>
  </si>
  <si>
    <t>Enter number of adits to seal.</t>
  </si>
  <si>
    <t xml:space="preserve"> Seal portals / drifts (width &gt;3 m) – only entry seal / plug required with in front of access</t>
  </si>
  <si>
    <t>Portal/ drift</t>
  </si>
  <si>
    <t>Engineered backfill between 2X1m concrete seal plugs. Fleet comprising Concrete truck and Labour (General). Capacity of concrete trucks 8m3, Pumping rate 70m3/h.</t>
  </si>
  <si>
    <t>Enter number of portals / drifts to seal. This cost is not applicable to coal operations requiring backfilling to MDG6001 or similar due to gases.</t>
  </si>
  <si>
    <t xml:space="preserve"> Seal portals / drifts (width &gt;3 m) accessible / not acessible to people and machinery requiring a bulkhead.</t>
  </si>
  <si>
    <t>Engineer and construct bullhead, backfill with grout. Includes reshaping and rehabilitation of the batter around the entrance of the adit.Thickness of  bulkhead 5m. Fleet comprising Concrete truck and Labour (General). Capacity of concrete trucks 8m3, Pumping rate 70m3/h.</t>
  </si>
  <si>
    <t>Enter number of portals / drifts to seal.</t>
  </si>
  <si>
    <t>Grout fill tunnel via mine workings to seal and eliminate voids and/or likelihood of failures of ground</t>
  </si>
  <si>
    <t>Fleet comprising Concrete truck and Labour (General). Capacity of concrete trucks 8m3, Pumping rate 70m3/h.</t>
  </si>
  <si>
    <t>Enter length of tunnel to fill.</t>
  </si>
  <si>
    <t>Grout fill tunnel by drilling directly above to seal and eliminate voids and/or likelihood of failures of ground</t>
  </si>
  <si>
    <t>Seal and rehabilitate ventilation shafts on hard rock operations (no to low gas risk) or coal operations - allows for works in a remote location</t>
  </si>
  <si>
    <t>shaft</t>
  </si>
  <si>
    <t>Engineer and construct bullhead, backfill with grout. Includes reshaping and rehabilitation of the batter around the entrance of the adit.Thickness of  bulkhead m. Fleet comprising Concrete truck and Labour (General). Capacity of concrete trucks 8m3, Pumping rate 70m3/h.</t>
  </si>
  <si>
    <t>Maintenance and monitoring of sealed adits/portals and shafts</t>
  </si>
  <si>
    <t>Install gate or grill over the adit (Where site might be used by bats)</t>
  </si>
  <si>
    <t>opening</t>
  </si>
  <si>
    <t>Seal Steel Plate</t>
  </si>
  <si>
    <t>Enter number of plates to install.</t>
  </si>
  <si>
    <t>Gate or grill</t>
  </si>
  <si>
    <t>Enter number of gates and grills to install.</t>
  </si>
  <si>
    <t>Site Security</t>
  </si>
  <si>
    <t>Nightly Patrols</t>
  </si>
  <si>
    <t>Security Guard at 2 hours per visit and 365 days per year, with vehicle and support staff.</t>
  </si>
  <si>
    <t>Enter number of years for security to operate.</t>
  </si>
  <si>
    <t>Prepare item for removal; remove and dispose oils from transformers; electrically and mechanically disconnect transformers and associated equipment;  demolish / remove associated buildings; remove and dispose cable tray; remove gravel hardstand; demolish concrete footings; remove fencing. Fleet comprising Truck vacuum tanker, Mechanical fitter, Electrician, Truck Flatbed, Crane 20 tonne , Dogman, Excavator 340F, 345B  with hammer. Footprint 1000m2. Transformers: 0 large, 2 medium, 0 small, 2 power conditioners, 0 switchrooms, 1 control rooms, 1, amenities.</t>
  </si>
  <si>
    <t>Enter footprint of substation to demolish.</t>
  </si>
  <si>
    <t>Prepare item for removal; remove and dispose oils from transformers; electrically and mechanically disconnect transformers and associated equipment;  demolish / remove associated buildings; remove and dispose cable tray; remove gravel hardstand; demolish concrete footings; remove fencing. Fleet comprising Truck vacuum tanker, Mechanical fitter, Electrician, Truck Flatbed, Crane 20 tonne , Dogman, Excavator 340F, 345B  with hammer. Footprint 2500m2. Transformers: 2 large, 4 medium, 2 small, 4 power conditioners, 2 switchrooms, 1 control rooms, 1, amenities.</t>
  </si>
  <si>
    <t>Large substation of footprint 5000m2</t>
  </si>
  <si>
    <t>Prepare item for removal; remove and dispose oils from transformers; electrically and mechanically disconnect transformers and associated equipment;  demolish / remove associated buildings; remove and dispose cable tray; remove gravel hardstand; demolish concrete footings; remove fencing. Fleet comprising Truck vacuum tanker, Mechanical fitter, Electrician, Truck Flatbed, Crane 20 tonne , Dogman, Excavator 340F, 345B  with hammer. Footprint 5000m2. Transformers: 4 large, 6 medium, 6 small, 8 power conditioners, 3 switchrooms, 2 control rooms, 2, amenities.</t>
  </si>
  <si>
    <t>Enter footprint of substation, switchyard or combination to demolish.</t>
  </si>
  <si>
    <t>In-pit tailings storage facilities with poor water recovery, minimal consolidation and very low shear strength.
Embankment 10% of footprint and 1m cover, ramps 10% of footprint and 0.5m cover. Working layer 4m, capillary break 0m, low permeability layer 1.5m, top rock cover 4m, no additonal capping, no ameloriants, growth media of thickness 0.15m, revegetation assumed 50% Pasture seed and 50% Native seed, permeability testing 1points/ha.</t>
  </si>
  <si>
    <t>Enter total footprint of facility.</t>
  </si>
  <si>
    <t>Reshaping, capping / sealing of trafficable tailings facility with moderate chemical reactivity (medium to high risk Potential Acid Forming (PAF) / Neutral Mine Drainage (NMD) / Saline Mine Drainage (SMD) and/or moderate to high propensity for spontaneous combustion) and moderate physical properties (not significantly  hydrophilic, shear strength limits equipment choice somewhat, no artificial strengthening required).Embankment 10% of footprint and 1m cover, ramps 10% of footprint and 0.5m cover. Working layer 0.5m, capillary break 0.6m, low permeability layer 0.5m, top rock cover 1.5m, no additonal capping, no ameloriants, growth media of thickness 0.15m, revegetation assumed 50% Pasture seed and 50% Native seed, permeability testing 1points/ha.</t>
  </si>
  <si>
    <t>Reshaping, capping / sealing of trafficable tailings facility with moderate chemical reactivity (low to medium risk Potential Acid Forming (PAF) / Neutral Mine Drainage (NMD) / Saline Mine Drainage (SMD) and/or low to moderate propensity for spontaneous combustion) and moderate physical properties (not significantly  hydrophilic, shear strength limits equipment choice somewhat, no artificial strengthening required).Embankment 10% of footprint and 1m cover, ramps 10% of footprint and 0.5m cover. Working layer 0.3m, capillary break 0.3m, low permeability layer 0m, top rock cover 1m, no additonal capping, no ameloriants, growth media of thickness 0.15m, revegetation assumed 50% Pasture seed and 50% Native seed, permeability testing 1points/ha.</t>
  </si>
  <si>
    <t>Reshaping, capping / sealing of trafficable tailings facility with little chemical reactivity (no to low risk Potential Acid Forming (PAF) / Neutral Mine Drainage (NMD) / Saline Mine Drainage (SMD) and/or low to moderate propensity for spontaneous combustion) and good physical properties (not significantly  hydrophilic, shear strength does not limit equipment choice, no artificial strengthening required)Embankment 10% of footprint and 1m cover, ramps 10% of footprint and 0.5m cover. Working layer 0m, capillary break 0m, low permeability layer 0m, top rock cover 1m, no additonal capping, no ameloriants, growth media of thickness 0.15m, revegetation assumed 50% Pasture seed and 50% Native seed, permeability testing 1points/ha.</t>
  </si>
  <si>
    <t>For small scale sand tailings facilities, small fleet, 5km one way haul.Embankment 10% of footprint and 1m cover, ramps 10% of footprint and 0.5m cover. Working layer 0m, capillary break 0m, low permeability layer 0m, top rock cover 0m, no additonal capping, no ameloriants, growth media of thickness 0.15m, revegetation assumed 50% Pasture seed and 50% Native seed, permeability testing 1points/ha.</t>
  </si>
  <si>
    <t>Tanks, Silos and Vessels</t>
  </si>
  <si>
    <t>tank</t>
  </si>
  <si>
    <t>Footprint 280m2, Height / length 22m,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1m, steel thickness 4mm.</t>
  </si>
  <si>
    <t>Enter number of vessels / tanks to be demolished.</t>
  </si>
  <si>
    <t>Silo, Steel wall, Steel roof, Steel floor, Not lined, Single skin, 3000t</t>
  </si>
  <si>
    <t>Footprint 194m2, Height / length 20m,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0.75m, steel thickness 4mm.</t>
  </si>
  <si>
    <t>Footprint 86m2, Height / length 18m,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0.5m, steel thickness 4mm.</t>
  </si>
  <si>
    <t>Footprint 194m2, Height / length 20m,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1m, steel thickness 4mm.</t>
  </si>
  <si>
    <t>Footprint 31m2, Height / length 3m, Sediment: load, haul, dispose; Pipework Removal and Disposal; Mechanically disconnect; Steel Plate: cut up, load and transport steel plate; Concrete: break, load, transport, dispose; fleet comprising Excavator 340F, 345B  with shears, Electrician, Mechanical fitter, Labour (General), Excavator 340F, 345B  with hammer. Sediment thickness 0.5m, steel thickness 4mm.</t>
  </si>
  <si>
    <t>Footprint 169m2, Height / length 3m, Sediment: load, haul, dispose; Pipework Removal and Disposal; Mechanically disconnect; Steel Plate: cut up, load and transport steel plate; Concrete: break, load, transport, dispose; fleet comprising Excavator 340F, 345B  with shears, Electrician, Mechanical fitter, Labour (General), Excavator 340F, 345B  with hammer. Sediment thickness 0.5m, steel thickness 4mm.</t>
  </si>
  <si>
    <t>Footprint 346m2, Height / length 3m, Sediment: load, haul, dispose; Pipework Removal and Disposal; Mechanically disconnect; Steel Plate: cut up, load and transport steel plate; Concrete: break, load, transport, dispose; fleet comprising Excavator 340F, 345B  with shears, Electrician, Mechanical fitter, Labour (General), Excavator 340F, 345B  with hammer. Sediment thickness 0.5m, steel thickness 4mm.</t>
  </si>
  <si>
    <t>Thickening, Steel, Open top, Steel floor, Not lined, Single skin, 2500kL</t>
  </si>
  <si>
    <t>Footprint 727m2, Height / length 3.8m, Sediment: load, haul, dispose; Pipework Removal and Disposal; Mechanically disconnect; Steel Plate: cut up, load and transport steel plate; Concrete: break, load, transport, dispose; fleet comprising Excavator 340F, 345B  with shears, Electrician, Mechanical fitter, Labour (General), Excavator 340F, 345B  with hammer. Sediment thickness 0.5m, steel thickness 4mm.</t>
  </si>
  <si>
    <t>Thickening, Steel, Open top, Steel floor, Not lined, Single skin, 5000kL</t>
  </si>
  <si>
    <t>Footprint 1382m2, Height / length 3.8m, Sediment: load, haul, dispose; Pipework Removal and Disposal; Mechanically disconnect; Steel Plate: cut up, load and transport steel plate; Concrete: break, load, transport, dispose; fleet comprising Excavator 340F, 345B  with shears, Electrician, Mechanical fitter, Labour (General), Excavator 340F, 345B  with hammer. Sediment thickness 0.5m, steel thickness 4mm.</t>
  </si>
  <si>
    <t>Thickening, Steel, Open top, Steel floor, Not lined, Single skin, 10000kL</t>
  </si>
  <si>
    <t>Footprint 2613m2, Height / length 4.2m, Sediment: load, haul, dispose; Pipework Removal and Disposal; Mechanically disconnect; Steel Plate: cut up, load and transport steel plate; Concrete: break, load, transport, dispose; fleet comprising Excavator 340F, 345B  with shears, Electrician, Mechanical fitter, Labour (General), Excavator 340F, 345B  with hammer. Sediment thickness 0.5m, steel thickness 4mm.</t>
  </si>
  <si>
    <t>Rail loading bin, Concrete wall, Concrete roof, Concrete base, Not lined, Single skin, 5000t</t>
  </si>
  <si>
    <t>Footprint 194m2, Height / length 28m, Sediment: load, haul, dispose; Pipework Removal and Disposal; Mechanically disconnect; Concrete: break, load, transport, dispose; fleet comprising Electrician, Mechanical fitter, Labour (General), Excavator 340F, 345B  with hammer. Sediment thickness 0.5m, concrete thickness 0.25m.</t>
  </si>
  <si>
    <t>Horizontal, Steel, Buried, Single skin, &lt;=5kL</t>
  </si>
  <si>
    <t>Length 3m, diameter 1.45m; Pipework Removal and Disposal; Mechanically disconnect; Excavate Down to Buried Tanks and Backfill; lift and transport tank for disposal, fleet comprising Electrician, Mechanical fitter, Labour (General), Excavator 340F, 345B .</t>
  </si>
  <si>
    <t>Length 4m, diameter 2m; Pipework Removal and Disposal; Mechanically disconnect; Excavate Down to Buried Tanks and Backfill; lift and transport tank for disposal, fleet comprising Electrician, Mechanical fitter, Labour (General), Excavator 340F, 345B .</t>
  </si>
  <si>
    <t>Horizontal, Steel, Buried, Single skin, &gt;20kL and &lt;= 50kL</t>
  </si>
  <si>
    <t>Length 5m, diameter 3.2m; Pipework Removal and Disposal; Mechanically disconnect; Excavate Down to Buried Tanks and Backfill; lift and transport tank for disposal, fleet comprising Electrician, Mechanical fitter, Labour (General), Excavator 340F, 345B .</t>
  </si>
  <si>
    <t>Vertical tank, Steel wall, Steel roof, Steel floor, Unlined, Single skin, 100, kL</t>
  </si>
  <si>
    <t>Footprint 31m2, Height / length 4m,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</si>
  <si>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200, kL</t>
  </si>
  <si>
    <t>Footprint 42m2, Height / length 5m,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</si>
  <si>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300, kL</t>
  </si>
  <si>
    <t>Footprint 55m2, Height / length 6m,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</si>
  <si>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Footprint 86m2, Height / length 8m,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</si>
  <si>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1000, kL</t>
  </si>
  <si>
    <t>Footprint 124m2, Height / length 9m,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</si>
  <si>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2000, kL</t>
  </si>
  <si>
    <t>Footprint 169m2, Height / length 14m,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</si>
  <si>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3000, kL</t>
  </si>
  <si>
    <t>Footprint 221m2, Height / length 15m,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</si>
  <si>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5000, kL</t>
  </si>
  <si>
    <t>Footprint 280m2, Height / length 19m,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</si>
  <si>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7500, kL</t>
  </si>
  <si>
    <t>Footprint 312m2, Height / length 26m,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</si>
  <si>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Vertical tank, Steel wall, Steel roof, Steel floor, Unlined, Single skin, 10000, kL</t>
  </si>
  <si>
    <t>Footprint 363m2, Height / length 29m, Sediment: load, haul, dispose; Pipework Removal and Disposal; Mechanically disconnect; Steel Plate: cut up, load and transport steel plate; Concrete: break, load, transport, dispose; fleet comprising Excavator 374F  with grapple, Electrician, Mechanical fitter, Labour (General), Excavator 340F, 345B  with hammer. Sediment thickness 0m, steel thickness 4mm.</t>
  </si>
  <si>
    <t>Length 4m, diameter 2.2m; Mechanically disconnect; lift and transport tank for disposal / reuse, fleet comprising Electrician, Mechanical fitter.</t>
  </si>
  <si>
    <t>Length 5m, diameter 3.2m; Mechanically disconnect; lift and transport tank for disposal / reuse, fleet comprising Electrician, Mechanical fitter, Backhoe_428F 4WD .</t>
  </si>
  <si>
    <t>Enter number of vessels / tanks to be transported off-site for storage / re-use.</t>
  </si>
  <si>
    <t>Tracks, Haul Roads, Laydown, Airstrip, Concrete Hardstand</t>
  </si>
  <si>
    <t>Haul Road with Minimal Work, No vegetation</t>
  </si>
  <si>
    <t>Rip only, width 25 m, cover Earthen, load and haul distance = &gt;1500 m to &lt;=2000 m, Fleet: Grader 16G,H,M , Dozer D8R, no growth media or seed.</t>
  </si>
  <si>
    <t>Enter total length of haul road in pasture land requiring rehabilitation.</t>
  </si>
  <si>
    <t>Width 25 m, cover Earthen, load and haul distance = &gt;1500 m to &lt;=2000 m, Fleet: Grader 16G,H,M , Dozer D8R, growth media and pasture seed.</t>
  </si>
  <si>
    <t>Width 25 m, cover Rock with thickness 250 mm, load and haul distance = &gt;1500 m to &lt;=2000 m, Fleet: Grader 16G,H,M , Dozer D8R, growth media and pasture seed.</t>
  </si>
  <si>
    <t>Enter total length of haul road in native land requiring rehabilitation.</t>
  </si>
  <si>
    <t>Width 25 m, cover Earthen, load and haul distance = &gt;1500 m to &lt;=2000 m, Fleet: Grader 16G,H,M , Dozer D8R, growth media and native seed.</t>
  </si>
  <si>
    <t>Width 25 m, cover Rock with thickness 250 mm, load and haul distance = &gt;1500 m to &lt;=2000 m, Fleet: Grader 16G,H,M , Dozer D8R, growth media and native seed.</t>
  </si>
  <si>
    <t>Enter total length of haul road in arid land requiring rehabilitation.</t>
  </si>
  <si>
    <t>Width 25 m, cover Earthen, load and haul distance = &gt;1500 m to &lt;=2000 m, Fleet: Grader 16G,H,M , Dozer D8R, no growth media or seed.</t>
  </si>
  <si>
    <t>Width 25 m, cover Rock with thickness 250 mm, load and haul distance = &gt;1500 m to &lt;=2000 m, Fleet: Grader 16G,H,M , Dozer D8R, no growth media or seed.</t>
  </si>
  <si>
    <t>Rip only, cover Earthen, load and haul distance = &gt;1500 m to &lt;=2000 m, Fleet: Grader 16G,H,M , Dozer D8R, no growth media or seed.</t>
  </si>
  <si>
    <t>Enter total area of haul road in pasture land requiring rehabilitation.</t>
  </si>
  <si>
    <t>Cover Earthen, load and haul distance = &gt;1500 m to &lt;=2000 m, Fleet: Grader 16G,H,M , Dozer D8R, growth media and pasture seed.</t>
  </si>
  <si>
    <t>Cover Rock with thickness 250 mm, load and haul distance = &gt;1500 m to &lt;=2000 m, Fleet: Grader 16G,H,M , Dozer D8R, growth media and pasture seed.</t>
  </si>
  <si>
    <t>Enter total area of haul road in native land requiring rehabilitation.</t>
  </si>
  <si>
    <t>Cover Earthen, load and haul distance = &gt;1500 m to &lt;=2000 m, Fleet: Grader 16G,H,M , Dozer D8R, growth media and native seed.</t>
  </si>
  <si>
    <t>Cover Rock with thickness 250 mm, load and haul distance = &gt;1500 m to &lt;=2000 m, Fleet: Grader 16G,H,M , Dozer D8R, growth media and native seed.</t>
  </si>
  <si>
    <t>Enter total area of haul road in arid land requiring rehabilitation.</t>
  </si>
  <si>
    <t>Cover Earthen, load and haul distance = &gt;1500 m to &lt;=2000 m, Fleet: Grader 16G,H,M , Dozer D8R, no growth media or seed.</t>
  </si>
  <si>
    <t>Cover Rock with thickness 250 mm, load and haul distance = &gt;1500 m to &lt;=2000 m, Fleet: Grader 16G,H,M , Dozer D8R, no growth media or seed.</t>
  </si>
  <si>
    <t>Enter total length of track in pasture land requiring rehabilitation.</t>
  </si>
  <si>
    <t>Track / Park-up with No Cover (Compacted Earth) and windrows</t>
  </si>
  <si>
    <t>Width 6 m, cover Rock with thickness 150 mm, load and haul distance = &gt;1500 m to &lt;=2000 m, Fleet: Grader 14G,H,M , Dozer D6R, growth media and pasture seed.</t>
  </si>
  <si>
    <t>Enter total length of track in native land requiring rehabilitation.</t>
  </si>
  <si>
    <t>Width 6 m, cover Rock with thickness 150 mm, load and haul distance = &gt;1500 m to &lt;=2000 m, Fleet: Grader 14G,H,M , Dozer D6R, growth media and native seed.</t>
  </si>
  <si>
    <t>Enter total length of track in arid land requiring rehabilitation.</t>
  </si>
  <si>
    <t>Width 6 m, cover Rock with thickness 150 mm, load and haul distance = &gt;1500 m to &lt;=2000 m, Fleet: Grader 14G,H,M , Dozer D6R, no growth media or seed.</t>
  </si>
  <si>
    <t>Rip only, cover Earthen, load and haul distance = &gt;1500 m to &lt;=2000 m, Fleet: Grader 14G,H,M , Dozer D6R, no growth media or seed.</t>
  </si>
  <si>
    <t>Enter total area of track in pasture land requiring rehabilitation.</t>
  </si>
  <si>
    <t>Cover Earthen, load and haul distance = &gt;1500 m to &lt;=2000 m, Fleet: Grader 14G,H,M , Dozer D6R, growth media and pasture seed.</t>
  </si>
  <si>
    <t>Cover Rock with thickness 150 mm, load and haul distance = &gt;1500 m to &lt;=2000 m, Fleet: Grader 14G,H,M , Dozer D6R, growth media and pasture seed.</t>
  </si>
  <si>
    <t>Enter total area of track in native land requiring rehabilitation.</t>
  </si>
  <si>
    <t>Cover Earthen, load and haul distance = &gt;1500 m to &lt;=2000 m, Fleet: Grader 14G,H,M , Dozer D6R, growth media and native seed.</t>
  </si>
  <si>
    <t>Cover Rock with thickness 150 mm, load and haul distance = &gt;1500 m to &lt;=2000 m, Fleet: Grader 14G,H,M , Dozer D6R, growth media and native seed.</t>
  </si>
  <si>
    <t>Enter total area of track in arid land requiring rehabilitation.</t>
  </si>
  <si>
    <t>Cover Earthen, load and haul distance = &gt;1500 m to &lt;=2000 m, Fleet: Grader 14G,H,M , Dozer D6R, no growth media or seed.</t>
  </si>
  <si>
    <t>Cover Rock with thickness 150 mm, load and haul distance = &gt;1500 m to &lt;=2000 m, Fleet: Grader 14G,H,M , Dozer D6R, no growth media or seed.</t>
  </si>
  <si>
    <t>Enter total area of laydown area in pasture land requiring rehabilitation.</t>
  </si>
  <si>
    <t>Laydown with No Cover (Compacted Earth) in Pasture</t>
  </si>
  <si>
    <t>Laydown with Rock / Gravel / Bitumen Cover in Pasture</t>
  </si>
  <si>
    <t>Cover Rock with thickness 150 mm, load and haul distance = 1, Fleet: Grader 14G,H,M , Dozer D8R, growth media and pasture seed.</t>
  </si>
  <si>
    <t>Laydown with Minimal Work, No vegetation in Native</t>
  </si>
  <si>
    <t>Enter total area of laydown area in native land requiring rehabilitation.</t>
  </si>
  <si>
    <t>Laydown with Rock / Gravel / Bitumen Cover in Native</t>
  </si>
  <si>
    <t>Cover Rock with thickness 150 mm, load and haul distance = 1, Fleet: Grader 14G,H,M , Dozer D8R, growth media and native seed.</t>
  </si>
  <si>
    <t>Laydown with Minimal Work, No vegetation in Arid</t>
  </si>
  <si>
    <t>Enter total area of laydown area in arid land requiring rehabilitation.</t>
  </si>
  <si>
    <t>Laydown with No Cover (Compacted Earth) in Arid</t>
  </si>
  <si>
    <t>Laydown with Rock / Gravel / Bitumen Cover in Arid</t>
  </si>
  <si>
    <t>Cover Rock with thickness 150 mm, load and haul distance = 1, Fleet: Grader 14G,H,M , Dozer D8R, no growth media or seed.</t>
  </si>
  <si>
    <t>Cover Earthen with thickness 0 mm, load and haul distance = &gt;1500 m to &lt;=2000 m, Fleet: Grader 16G,H,M , Dozer D8R, growth media and pasture seed.</t>
  </si>
  <si>
    <t>Enter area of airstrip to be demolished.</t>
  </si>
  <si>
    <t>Airstrip with gravel / bitumen cover</t>
  </si>
  <si>
    <t>Cover Rock with thickness 200 mm, load and haul distance = &gt;1500 m to &lt;=2000 m, Fleet: Grader 16G,H,M , Dozer D8R, growth media and pasture seed.</t>
  </si>
  <si>
    <t>Fleet comprising 2XExcavator 340F, 345B  with hammer and grapple to remove reinforcing, Water truck 30kL and Labour (General), concrete thickness 0.3m, productivity 50m3/h, load and haul concrete &gt;5000 m to &lt;=6000 m, steel transported off-site 55km for disposal.</t>
  </si>
  <si>
    <t>Enter area of concrete to be demolished that is not associated with buildings, tanks, and plant. Disposal in void on-site. Add in off-site waste disposal rates if taking concrete off-site.</t>
  </si>
  <si>
    <t>Fleet comprising 2Xea. with hammer and grapple to remove reinforcing, ea. and ea., concrete thickness 0.6m, productivity 50m3/h, load and haul concrete &gt;5000 m to &lt;=6000 m, steel transported off-site 55km for disposal.</t>
  </si>
  <si>
    <t>Utilities</t>
  </si>
  <si>
    <t>Electrical disconnection, transport materials for scrap / re-use / disposal, no land rehabilitation costs included. Fleet comprises Electrician, Mechanical fitter, Backhoe_428F 4WD , Crane truck, Truck Flatbed.</t>
  </si>
  <si>
    <t xml:space="preserve">Enter number of major terminations required to allow demolition / rehabilitation of site(s). </t>
  </si>
  <si>
    <t>Enter number of terminations at remote locations required to allow demolition / rehabilitation of site(s). Use for items such as pumps stations, remote workshops, remote sewage treatment plants).(i.e., pump stations, remote workshops, sewage treatment plant, etc.)</t>
  </si>
  <si>
    <t>Enter number of underground utilities to terminate.</t>
  </si>
  <si>
    <t>Water Pumping and Treatment</t>
  </si>
  <si>
    <t>Neutraliser 0.5ML/d plant, Power demand 50kW, operating 24h/day, 50kW, Hydrated Lime 300kg/day, allowance for pumps and hoses, labour, monitoring equipment and sample analysis.</t>
  </si>
  <si>
    <t>Enter volume of water to be treated.</t>
  </si>
  <si>
    <t>Reverse Osmosis 1ML/d plant, Power demand 50kW, operating 24h/day, 50kW, RO Chemicals 1000kg/day, allowance for pumps and hoses, evaporation of brine water, labour, monitoring equipment and sample analysis.</t>
  </si>
  <si>
    <t>Water Pumping / Transfer</t>
  </si>
  <si>
    <t>Pump 6 inch dewater with hoses plant, Power demand 50kW, operating 24h/day, 50kW, Hydrated Lime allowance for labour.</t>
  </si>
  <si>
    <t xml:space="preserve">Enter volume of water to be pumped. </t>
  </si>
  <si>
    <t>Desalination Plant</t>
  </si>
  <si>
    <t>Electrical and mechanical disconnection, transport for re-use, break up concrete, land rehabilitation not included. Fleet comprises Labour (General), Electrician, Mechanical fitter, Crane 20 tonne , Truck Flatbed, Excavator 320C,F  with hammer.</t>
  </si>
  <si>
    <t>Enter capacity of water treatment plant to be decommissioned.</t>
  </si>
  <si>
    <t>Desalination Plant (minimum)</t>
  </si>
  <si>
    <t>As above</t>
  </si>
  <si>
    <t>Minimum cost for units smaller than 1 ML/day.</t>
  </si>
  <si>
    <t>Inflation -yrs escalate</t>
  </si>
  <si>
    <t>Department only</t>
  </si>
  <si>
    <t>Inflation - rate</t>
  </si>
  <si>
    <t>Inflation - multiplier</t>
  </si>
  <si>
    <t>Rate sources in Activities (Department only)</t>
  </si>
  <si>
    <t>2023 Version</t>
  </si>
  <si>
    <t>Value</t>
  </si>
  <si>
    <t>Hide&gt;</t>
  </si>
  <si>
    <t>Range</t>
  </si>
  <si>
    <t>Range % Max on Min</t>
  </si>
  <si>
    <t>Minimum</t>
  </si>
  <si>
    <t>Average</t>
  </si>
  <si>
    <t>Maximum</t>
  </si>
  <si>
    <t>Rate Selected</t>
  </si>
  <si>
    <t>Value Selected</t>
  </si>
  <si>
    <t>Date of Rate Selection</t>
  </si>
  <si>
    <t>Source 1</t>
  </si>
  <si>
    <t xml:space="preserve">Source2 </t>
  </si>
  <si>
    <t>Average 1 and 2</t>
  </si>
  <si>
    <t>Source3</t>
  </si>
  <si>
    <t>Source4</t>
  </si>
  <si>
    <t>Source5</t>
  </si>
  <si>
    <t>Source6</t>
  </si>
  <si>
    <t>Source7</t>
  </si>
  <si>
    <t>Source8</t>
  </si>
  <si>
    <t>Source9</t>
  </si>
  <si>
    <t>Source10</t>
  </si>
  <si>
    <t>Average 9 and 10</t>
  </si>
  <si>
    <t>Source 11</t>
  </si>
  <si>
    <t>Source 12</t>
  </si>
  <si>
    <t>Source 13</t>
  </si>
  <si>
    <t>Source 14</t>
  </si>
  <si>
    <t>Average Source 1 and 14</t>
  </si>
  <si>
    <t>Source 15</t>
  </si>
  <si>
    <t>Source 16</t>
  </si>
  <si>
    <t>NSW Government</t>
  </si>
  <si>
    <t>Australia QLD ERC Reference</t>
  </si>
  <si>
    <t>Inflated Rate on ERC</t>
  </si>
  <si>
    <t>No source / allowance</t>
  </si>
  <si>
    <t>Backhoe and Attachments</t>
  </si>
  <si>
    <t xml:space="preserve">Backhoe_420F 4WD </t>
  </si>
  <si>
    <t>hour</t>
  </si>
  <si>
    <t>Includes fuel and operator</t>
  </si>
  <si>
    <t>Contractor rate</t>
  </si>
  <si>
    <t xml:space="preserve">Backhoe_428F 4WD </t>
  </si>
  <si>
    <t>With fuel and operator</t>
  </si>
  <si>
    <t>Backhoe attachments</t>
  </si>
  <si>
    <t>Capping</t>
  </si>
  <si>
    <t>Capping clay purchase only</t>
  </si>
  <si>
    <t>Capping geotextile Bidim A24</t>
  </si>
  <si>
    <t>roll</t>
  </si>
  <si>
    <t>Geotextile (Bidim A24 - 4 m wide, 175 m rolls)</t>
  </si>
  <si>
    <t>Supplier rate</t>
  </si>
  <si>
    <t>No min</t>
  </si>
  <si>
    <t>Capping geosynthetic</t>
  </si>
  <si>
    <t>Capping HDPE 2mm</t>
  </si>
  <si>
    <t>(2mm thick HDPE, 5.8m wide, 100m long)</t>
  </si>
  <si>
    <t>Liner HDPE 1mm</t>
  </si>
  <si>
    <t>5.8m wide 50 m long</t>
  </si>
  <si>
    <t>Cover HDPE 0.5 mm</t>
  </si>
  <si>
    <t>4.2m wide 50 m long</t>
  </si>
  <si>
    <t>Tarpaulin - industrial</t>
  </si>
  <si>
    <t>Anchors</t>
  </si>
  <si>
    <t>anchor</t>
  </si>
  <si>
    <t>Cone penetrometer</t>
  </si>
  <si>
    <t>day</t>
  </si>
  <si>
    <t>Compactors</t>
  </si>
  <si>
    <t xml:space="preserve">Compactor CS633E Vibratory           </t>
  </si>
  <si>
    <t xml:space="preserve">Compactor CP533E Sheepsfoot           </t>
  </si>
  <si>
    <t xml:space="preserve">Compactor CP633E Sheepsfoot           </t>
  </si>
  <si>
    <t>Compactor plate</t>
  </si>
  <si>
    <t>Concrete crushing plant</t>
  </si>
  <si>
    <t>Consultant Labour</t>
  </si>
  <si>
    <t>Junior Consultant</t>
  </si>
  <si>
    <t>Engineer/Geologist/Scientist</t>
  </si>
  <si>
    <t>Consultant rate</t>
  </si>
  <si>
    <t>Associate Consultant</t>
  </si>
  <si>
    <t>Principal Consultant</t>
  </si>
  <si>
    <t>Senior Principal Consultant</t>
  </si>
  <si>
    <t>Project Manager</t>
  </si>
  <si>
    <t>Auditor / Director</t>
  </si>
  <si>
    <t>Draftsman/Technician</t>
  </si>
  <si>
    <t>Admin labour</t>
  </si>
  <si>
    <t>Health and Safety Lead</t>
  </si>
  <si>
    <t>No rate</t>
  </si>
  <si>
    <t>Cranes and Platforms</t>
  </si>
  <si>
    <t>Crane truck</t>
  </si>
  <si>
    <t xml:space="preserve">Crane 5 tonne </t>
  </si>
  <si>
    <t xml:space="preserve">Crane 20 tonne </t>
  </si>
  <si>
    <t>Includes fuel and operator + rigger</t>
  </si>
  <si>
    <t xml:space="preserve">Crane 50 tonne </t>
  </si>
  <si>
    <t xml:space="preserve">Crane 120 tonne </t>
  </si>
  <si>
    <t>Work platform</t>
  </si>
  <si>
    <t>Dozers</t>
  </si>
  <si>
    <t>Contractor source</t>
  </si>
  <si>
    <t>Contractor sources</t>
  </si>
  <si>
    <t>Several contractor sources</t>
  </si>
  <si>
    <t>Drilling</t>
  </si>
  <si>
    <t xml:space="preserve">Drill Rig - Blast Hole - Atlas Copco D65 </t>
  </si>
  <si>
    <t>Drill Rig - Geoprobe</t>
  </si>
  <si>
    <t>Excavators</t>
  </si>
  <si>
    <t xml:space="preserve">Excavator 312F </t>
  </si>
  <si>
    <t xml:space="preserve">Excavator 320C,F </t>
  </si>
  <si>
    <t xml:space="preserve">Excavator 325C,F </t>
  </si>
  <si>
    <t>Contractor rates (several)</t>
  </si>
  <si>
    <t xml:space="preserve">Excavator 330F </t>
  </si>
  <si>
    <t xml:space="preserve">Excavator 340F, 345B </t>
  </si>
  <si>
    <t>Contractor rate (several)</t>
  </si>
  <si>
    <t xml:space="preserve">Excavator 374F </t>
  </si>
  <si>
    <t xml:space="preserve">Excavator 385BL, 390F </t>
  </si>
  <si>
    <t xml:space="preserve">Excavator PC 1250 </t>
  </si>
  <si>
    <t xml:space="preserve">Excavator PC 1900 </t>
  </si>
  <si>
    <t xml:space="preserve">Excavator EX 2500 </t>
  </si>
  <si>
    <t>Excavator Attachments</t>
  </si>
  <si>
    <t>Hammer H-110/120 (fits 325)</t>
  </si>
  <si>
    <t>Hammer H-160 (fits 340/345)</t>
  </si>
  <si>
    <t>Hammer H-180 (fits 365/370/385/390)</t>
  </si>
  <si>
    <t>Shears S340 (fits 320/325/330)</t>
  </si>
  <si>
    <t>Shears S365 (fits 330/340)</t>
  </si>
  <si>
    <t>Shears S390 (fits 374/390)</t>
  </si>
  <si>
    <t xml:space="preserve">Grapple G315 (fits 320/325) </t>
  </si>
  <si>
    <t>Grapple G320 (fits 325/330)</t>
  </si>
  <si>
    <t>Grapple G330 (fits 340/374)</t>
  </si>
  <si>
    <t>Explosives, Grout, Concrete</t>
  </si>
  <si>
    <t>Explosive including delivery down hole</t>
  </si>
  <si>
    <t>kg</t>
  </si>
  <si>
    <t>Explosive consumables</t>
  </si>
  <si>
    <t>Grout for plugging holes</t>
  </si>
  <si>
    <t>Concrete for holes</t>
  </si>
  <si>
    <t>Graders</t>
  </si>
  <si>
    <t>Shaft backfill</t>
  </si>
  <si>
    <t>Investigation Equipment</t>
  </si>
  <si>
    <t>Photo-ionisation detector</t>
  </si>
  <si>
    <t>Supplier rates (several)</t>
  </si>
  <si>
    <t>De-contamination water 4L</t>
  </si>
  <si>
    <t>per 4 L</t>
  </si>
  <si>
    <t>Bailers</t>
  </si>
  <si>
    <t>case (24)</t>
  </si>
  <si>
    <t>Gloves</t>
  </si>
  <si>
    <t>pack</t>
  </si>
  <si>
    <t>Soil Augers</t>
  </si>
  <si>
    <t>Soil sample kit</t>
  </si>
  <si>
    <t>Pond gauging</t>
  </si>
  <si>
    <t>Allowance</t>
  </si>
  <si>
    <t>Laboratory Analysis</t>
  </si>
  <si>
    <t>Analysis NSW Excavated Material</t>
  </si>
  <si>
    <t>sample</t>
  </si>
  <si>
    <t xml:space="preserve">Includes metals, pH, EC, SV TPH, BTEX, PAH and foreign materials testing </t>
  </si>
  <si>
    <t>All from 2024 Laboratory price list</t>
  </si>
  <si>
    <t>Analysis Asbestos presence</t>
  </si>
  <si>
    <t>Absence/Presence in 50g Soil (Grab sample) including free fibres</t>
  </si>
  <si>
    <t>Analysis Asbestos analysis</t>
  </si>
  <si>
    <t>Quantitation per NEPM 2013 Guidelines NN (Not Presieved to &lt;7mm) : Bonded ACM + Friable Asbestos (FA+AF1) + Free Fibres (Sample size &lt; or = 1kg)</t>
  </si>
  <si>
    <t>Analysis PFAS</t>
  </si>
  <si>
    <t>Full Suite (28 analytes)</t>
  </si>
  <si>
    <t>Analysis Radionuclides</t>
  </si>
  <si>
    <t>Natural Radionuclides by HR gamma -spectrometry (U-238, Th-234, Th-230, Ra-226, Pb-210, U-235, Pa-231, Ac-227, Th-227, Ra-223, Ra-228, Th-228, K-40)</t>
  </si>
  <si>
    <t>Analysis PCB</t>
  </si>
  <si>
    <t>Analysis Pesticides</t>
  </si>
  <si>
    <t>OC + OP</t>
  </si>
  <si>
    <t>Analysis duplicates</t>
  </si>
  <si>
    <t>Analysis matrix spikes</t>
  </si>
  <si>
    <t>Analysis trip blanks</t>
  </si>
  <si>
    <t>Analysis rinsate</t>
  </si>
  <si>
    <t>Loaders</t>
  </si>
  <si>
    <t>Panhandler</t>
  </si>
  <si>
    <t>Loader 926M</t>
  </si>
  <si>
    <t>Loader 930K</t>
  </si>
  <si>
    <t xml:space="preserve">Loader 950M </t>
  </si>
  <si>
    <t xml:space="preserve">Loader 966G,M </t>
  </si>
  <si>
    <t xml:space="preserve">Loader 972M </t>
  </si>
  <si>
    <t xml:space="preserve">Loader 980M </t>
  </si>
  <si>
    <t>Loader 988G, 990K</t>
  </si>
  <si>
    <t>Loader 992G,K</t>
  </si>
  <si>
    <t xml:space="preserve">Loader 994K </t>
  </si>
  <si>
    <t>Screening, soil recycling, crushing</t>
  </si>
  <si>
    <t>Screening Plant</t>
  </si>
  <si>
    <t>Soil recycler</t>
  </si>
  <si>
    <t>Small Equipment</t>
  </si>
  <si>
    <t>Air Compressor + tools</t>
  </si>
  <si>
    <t>Escalated Queensland ERC rate</t>
  </si>
  <si>
    <t>Welding Equipment</t>
  </si>
  <si>
    <t>Gas axe</t>
  </si>
  <si>
    <t>Small Vehicle</t>
  </si>
  <si>
    <t>Utility Truck</t>
  </si>
  <si>
    <t>Mine spec vehicle with allowance for insurance, excess reduction and fuel.</t>
  </si>
  <si>
    <t>Hire vehicle supplier with insurance, excess reduction and fuel allowance added.</t>
  </si>
  <si>
    <t>Soil Ameliorants, Seed, Plants</t>
  </si>
  <si>
    <t>Sum of rates</t>
  </si>
  <si>
    <t xml:space="preserve">Contractor. </t>
  </si>
  <si>
    <t>Contractor</t>
  </si>
  <si>
    <t>Hydromulch - BFM - pasture seed</t>
  </si>
  <si>
    <t>Hydromulch - BFM - native seed</t>
  </si>
  <si>
    <t>Hydromulch - FRM - pasture seed</t>
  </si>
  <si>
    <t>Hydromulch - FRM - native seed</t>
  </si>
  <si>
    <t>Shovels</t>
  </si>
  <si>
    <t xml:space="preserve">Shovel Electric CAT 7495 </t>
  </si>
  <si>
    <t xml:space="preserve">Shovel Hydraulic CAT 6090 </t>
  </si>
  <si>
    <t>Trucks</t>
  </si>
  <si>
    <t xml:space="preserve">Truck 725 </t>
  </si>
  <si>
    <t>Truck 730</t>
  </si>
  <si>
    <t>Truck 735</t>
  </si>
  <si>
    <t>Truck 740</t>
  </si>
  <si>
    <t>Truck 769D, 770G</t>
  </si>
  <si>
    <t>Truck 773G</t>
  </si>
  <si>
    <t>Truck 777D,G</t>
  </si>
  <si>
    <t>Truck 785D</t>
  </si>
  <si>
    <t>Truck 789D</t>
  </si>
  <si>
    <t>Truck 793F</t>
  </si>
  <si>
    <t>Truck 797F</t>
  </si>
  <si>
    <t>Truck water tanker</t>
  </si>
  <si>
    <t>Water truck 19kL</t>
  </si>
  <si>
    <t>Water truck 30kL</t>
  </si>
  <si>
    <t>Water Truck 777G</t>
  </si>
  <si>
    <t xml:space="preserve">Water Truck 785D </t>
  </si>
  <si>
    <t>Truck 740C (ADT)</t>
  </si>
  <si>
    <t>Truck semi-tipper</t>
  </si>
  <si>
    <t>Truck Flatbed</t>
  </si>
  <si>
    <t>Truck vacuum tanker</t>
  </si>
  <si>
    <t>Includes fuel and operator (standard time), heavy vac 6kL, disposal separate</t>
  </si>
  <si>
    <t>Waste contractor rate</t>
  </si>
  <si>
    <t>Truck module transport</t>
  </si>
  <si>
    <t>Fuel tanker</t>
  </si>
  <si>
    <t>Concrete truck</t>
  </si>
  <si>
    <t>Hydro-rig</t>
  </si>
  <si>
    <t>Trade Labour</t>
  </si>
  <si>
    <t>Labour (General)</t>
  </si>
  <si>
    <t>Foreperson</t>
  </si>
  <si>
    <t>Electrician</t>
  </si>
  <si>
    <t>Mechanical fitter</t>
  </si>
  <si>
    <t>Construction labour</t>
  </si>
  <si>
    <t>HDPE welder</t>
  </si>
  <si>
    <t>Dogman</t>
  </si>
  <si>
    <t>Demolition crew</t>
  </si>
  <si>
    <t>Drillers helper</t>
  </si>
  <si>
    <t>Security Guard</t>
  </si>
  <si>
    <t>Electricity</t>
  </si>
  <si>
    <t>kWh</t>
  </si>
  <si>
    <t>yutyytyui</t>
  </si>
  <si>
    <t>Waste Disposal Gate Fees and Levies</t>
  </si>
  <si>
    <t>tonne</t>
  </si>
  <si>
    <t>Facility rate</t>
  </si>
  <si>
    <t>Assumes free but no allowance for scrap value.</t>
  </si>
  <si>
    <t>Waste Disposal J120, Oil/Water Mix &gt; 10 to &lt; 25  % Solids</t>
  </si>
  <si>
    <t>Range is $50 to $150 per m2 for cladding / wall, lower end of large scale</t>
  </si>
  <si>
    <t>Pipe diameter 0.2m, Specific area 0.6 m2/m</t>
  </si>
  <si>
    <t>Calculated in Activities</t>
  </si>
  <si>
    <t>square metre</t>
  </si>
  <si>
    <t>Specific mass 0.0021 t/m2</t>
  </si>
  <si>
    <t>Brine disposal</t>
  </si>
  <si>
    <t>kilolitre</t>
  </si>
  <si>
    <t>Levies guide</t>
  </si>
  <si>
    <t>Water Treatment and Pumping</t>
  </si>
  <si>
    <t>Reverse Osmosis 1ML/d</t>
  </si>
  <si>
    <t>Neutraliser 0.5ML/d</t>
  </si>
  <si>
    <t>Hydrated Lime</t>
  </si>
  <si>
    <t>RO Chemicals</t>
  </si>
  <si>
    <t>Pump 4 inch dewater with hoses</t>
  </si>
  <si>
    <t>Pump 6 inch dewater with hoses</t>
  </si>
  <si>
    <t>Screening plant for rip-rap</t>
  </si>
  <si>
    <t>m3/h</t>
  </si>
  <si>
    <t>Concrete / rock screening crushing and pumping</t>
  </si>
  <si>
    <t>Concrete crushing rate to 75 mm</t>
  </si>
  <si>
    <t>t/h</t>
  </si>
  <si>
    <t>Concrete crushing rate to 50 mm</t>
  </si>
  <si>
    <t>Concrete crushing rate to 30 mm</t>
  </si>
  <si>
    <t>Concrete truck capacity (supply)</t>
  </si>
  <si>
    <t>https://hunterconcrete.com.au/about/our-fleet</t>
  </si>
  <si>
    <t>10 wheeler</t>
  </si>
  <si>
    <t>Concrete pumping rate</t>
  </si>
  <si>
    <t>https://www.concordpumps.com.au</t>
  </si>
  <si>
    <t>Dozer Grade (LCM/h) vs. Grading Distance</t>
  </si>
  <si>
    <t>Number of dozers</t>
  </si>
  <si>
    <t>Dozing distance (m)</t>
  </si>
  <si>
    <t>Dozer Type</t>
  </si>
  <si>
    <t>&lt;= 20m push</t>
  </si>
  <si>
    <t>&gt; 20m to &lt;= 50m push</t>
  </si>
  <si>
    <t>&gt; 50m to &lt;= 75m push</t>
  </si>
  <si>
    <t>&gt; 75m to &lt;= 100m push</t>
  </si>
  <si>
    <t>&gt; 100m to &lt;= 125m push</t>
  </si>
  <si>
    <t>&gt; 125m to &lt;= 150m push</t>
  </si>
  <si>
    <t>&gt; 150m to &lt;= 200m push</t>
  </si>
  <si>
    <t>&gt; 200m to &lt;= 250m push</t>
  </si>
  <si>
    <t>&gt; 250m to &lt;= 300m push</t>
  </si>
  <si>
    <t>&gt; 300m to &lt;= 350m push</t>
  </si>
  <si>
    <t>&gt; 350m to &lt;= 400m push</t>
  </si>
  <si>
    <t>&gt; 400m to &lt;= 450m push</t>
  </si>
  <si>
    <t>&gt; 450m to &lt;= 500m push</t>
  </si>
  <si>
    <t>&gt; 500m push</t>
  </si>
  <si>
    <t>Source is Caterpillar Manual</t>
  </si>
  <si>
    <t>Too smallmeans the dozer cannot push hte distance.</t>
  </si>
  <si>
    <t>Speed</t>
  </si>
  <si>
    <t>km/h</t>
  </si>
  <si>
    <t>Run width</t>
  </si>
  <si>
    <t>Run Length</t>
  </si>
  <si>
    <t>Run area</t>
  </si>
  <si>
    <t>Rip depth (multi shank)</t>
  </si>
  <si>
    <t>Rip volume</t>
  </si>
  <si>
    <t xml:space="preserve">Number of runs required </t>
  </si>
  <si>
    <t>#/ha</t>
  </si>
  <si>
    <t>Time</t>
  </si>
  <si>
    <t>h/ha</t>
  </si>
  <si>
    <t>Drill and Blast Holes</t>
  </si>
  <si>
    <t>Grouting</t>
  </si>
  <si>
    <t>Backfill</t>
  </si>
  <si>
    <t>Drill</t>
  </si>
  <si>
    <t>Bucket</t>
  </si>
  <si>
    <t>Cycle rate</t>
  </si>
  <si>
    <t>seconds</t>
  </si>
  <si>
    <t>per hour</t>
  </si>
  <si>
    <t>Excavator Productivity</t>
  </si>
  <si>
    <t>Bucket capacity (m3)</t>
  </si>
  <si>
    <t>Used (m3)</t>
  </si>
  <si>
    <t>Cycle time (secs)</t>
  </si>
  <si>
    <t>Used (secs)</t>
  </si>
  <si>
    <t>LCM / hour</t>
  </si>
  <si>
    <t>Job Efficiency %</t>
  </si>
  <si>
    <t xml:space="preserve">Excavate soil from free excavation to depth 0 to &lt;=2 m, Excavator 320C,F </t>
  </si>
  <si>
    <t>LCM/h</t>
  </si>
  <si>
    <t>0.5 to 1.5</t>
  </si>
  <si>
    <t>13 to 40</t>
  </si>
  <si>
    <t xml:space="preserve">Excavate soil from free excavation to depth &gt;2 to &lt;=4 m, Excavator 320C,F </t>
  </si>
  <si>
    <t xml:space="preserve">Excavate soil from free excavation to depth &gt;4 m, Excavator 330F </t>
  </si>
  <si>
    <t xml:space="preserve">Excavate soil from free excavation to depth 0 to &lt;=2 m, Excavator 340F, 345B </t>
  </si>
  <si>
    <t>0.7 to 2.3</t>
  </si>
  <si>
    <t xml:space="preserve">Excavate soil from free excavation to depth &gt;2 to &lt;=4 m, Excavator 340F, 345B </t>
  </si>
  <si>
    <t xml:space="preserve">Excavate soil from free excavation to depth &gt;4 m, Excavator 340F, 345B </t>
  </si>
  <si>
    <t>Construct bund rate</t>
  </si>
  <si>
    <t>Soil load / excavate (trench)</t>
  </si>
  <si>
    <t xml:space="preserve">Backfill to trench and tamp / build biopile </t>
  </si>
  <si>
    <t>Lower productivity as installation works occurring</t>
  </si>
  <si>
    <t>Excavator concrete break and remove</t>
  </si>
  <si>
    <t>Cat page 8-12, H160 reinforced concrete 229 to 650 m3 per 8 hour shift</t>
  </si>
  <si>
    <t>Excavator concrete break and remove for overpass</t>
  </si>
  <si>
    <t>Lower rate to account for slower rate for activity</t>
  </si>
  <si>
    <t xml:space="preserve">Excavator Cut Pipe </t>
  </si>
  <si>
    <t>m/h</t>
  </si>
  <si>
    <t>Excavator Cut Cladding</t>
  </si>
  <si>
    <t>m2/h</t>
  </si>
  <si>
    <t xml:space="preserve">Excavator Cut Steel Plate </t>
  </si>
  <si>
    <t xml:space="preserve">Excavator Cut Aluminium Plate </t>
  </si>
  <si>
    <t>Excavator strip Insulation</t>
  </si>
  <si>
    <t>Steel reinforcing cut rate excavator</t>
  </si>
  <si>
    <t>Steel cable cut rate excavator</t>
  </si>
  <si>
    <t>Grader Trim Productivity</t>
  </si>
  <si>
    <t>Speed (2nd Gear)</t>
  </si>
  <si>
    <t>Effective blade width (30 degrees)</t>
  </si>
  <si>
    <t>Overlap width</t>
  </si>
  <si>
    <t>Efficiency</t>
  </si>
  <si>
    <t>Production</t>
  </si>
  <si>
    <t>ha/h</t>
  </si>
  <si>
    <t>Used for reshaping for drainage, spreading, final trim</t>
  </si>
  <si>
    <t>Grader Rip Productivity</t>
  </si>
  <si>
    <t>Speed (1st Gear)</t>
  </si>
  <si>
    <t>Number of runs required</t>
  </si>
  <si>
    <t>Hydroseeding / mulching</t>
  </si>
  <si>
    <t>ha per h</t>
  </si>
  <si>
    <t>Hydroseeding</t>
  </si>
  <si>
    <t>ha/day</t>
  </si>
  <si>
    <t>Hydromulching BFM</t>
  </si>
  <si>
    <t>Hydromulching FRM</t>
  </si>
  <si>
    <t>Hydromulching BGM</t>
  </si>
  <si>
    <t>Tram Material with Loader</t>
  </si>
  <si>
    <t>Haul distance</t>
  </si>
  <si>
    <t>Load, dump cycle</t>
  </si>
  <si>
    <t>min</t>
  </si>
  <si>
    <t>Tram loaded</t>
  </si>
  <si>
    <t>Tram empty</t>
  </si>
  <si>
    <t>Total cycle time</t>
  </si>
  <si>
    <t>Bucket capacity</t>
  </si>
  <si>
    <t>Production rate</t>
  </si>
  <si>
    <t>Trucking</t>
  </si>
  <si>
    <t>Semi-tipper Maximum Mass</t>
  </si>
  <si>
    <t>tonnes</t>
  </si>
  <si>
    <t>Semi-tipper Maximum Volume</t>
  </si>
  <si>
    <t>Truck travel speed off-site - loaded</t>
  </si>
  <si>
    <t>Truck travel speed off-site - unloaded</t>
  </si>
  <si>
    <t>Truck travel speed on-site - loaded</t>
  </si>
  <si>
    <t>Truck travel speed on-site - unloaded</t>
  </si>
  <si>
    <t>Truck (module) travel speed off-site - unloaded</t>
  </si>
  <si>
    <t>Truck (module) travel speed on-site - loaded</t>
  </si>
  <si>
    <t>Back to</t>
  </si>
  <si>
    <t>Comment</t>
  </si>
  <si>
    <t>Ameliorants and Plant / Seed Application Rates</t>
  </si>
  <si>
    <t>kg/ha</t>
  </si>
  <si>
    <t>plants / ha</t>
  </si>
  <si>
    <t>trees / ha</t>
  </si>
  <si>
    <t>Hydromulching contractor</t>
  </si>
  <si>
    <t>Value is amount of seed applied.</t>
  </si>
  <si>
    <t>Ameliorants supply</t>
  </si>
  <si>
    <t>Assumption for defaults.</t>
  </si>
  <si>
    <t>Buildings and Parking</t>
  </si>
  <si>
    <t>Concrete surface cover - Building</t>
  </si>
  <si>
    <t>Concrete surface cover - Parking</t>
  </si>
  <si>
    <t>Concrete footing - module</t>
  </si>
  <si>
    <t>Concrete slab thickness - transformer</t>
  </si>
  <si>
    <t>Asphalt surface cover</t>
  </si>
  <si>
    <t>Capping - General (see Assumptions - Capping sheet for key assumptions)</t>
  </si>
  <si>
    <t>Permeability Testing points frequency</t>
  </si>
  <si>
    <t>points per ha</t>
  </si>
  <si>
    <t>Permeability Testing points per time</t>
  </si>
  <si>
    <t>points per hour</t>
  </si>
  <si>
    <t>Contamination</t>
  </si>
  <si>
    <t>Biopile - minimum volume for lump sum cost</t>
  </si>
  <si>
    <t>Acid sulphate soil - liming rate</t>
  </si>
  <si>
    <t>kg / tonne</t>
  </si>
  <si>
    <t>t/m2</t>
  </si>
  <si>
    <t>Dam - liner multiplier to account for sides</t>
  </si>
  <si>
    <t>Process dam sediment thickness</t>
  </si>
  <si>
    <t>Raw dam sediment thickness</t>
  </si>
  <si>
    <t>Evaporation dam sediment thickness</t>
  </si>
  <si>
    <t>Dam top growth media thickness</t>
  </si>
  <si>
    <t>Dam buffer around crest for grade and seed</t>
  </si>
  <si>
    <t>Discrepancy between user stated and calculated volume</t>
  </si>
  <si>
    <t>General Parameters and Conversions</t>
  </si>
  <si>
    <t>Average working day</t>
  </si>
  <si>
    <t>hours</t>
  </si>
  <si>
    <t>mm in m</t>
  </si>
  <si>
    <t>m in km</t>
  </si>
  <si>
    <t>sqm in ha</t>
  </si>
  <si>
    <t>min in hour</t>
  </si>
  <si>
    <t>secs in 1 min</t>
  </si>
  <si>
    <t>hours in day</t>
  </si>
  <si>
    <t>kg in tonne</t>
  </si>
  <si>
    <t>g in kg</t>
  </si>
  <si>
    <t>mg in kg</t>
  </si>
  <si>
    <t>m/min in 1 km/h</t>
  </si>
  <si>
    <t>L in ML</t>
  </si>
  <si>
    <t>L in kL</t>
  </si>
  <si>
    <t>Liquid Treatment and Pumping</t>
  </si>
  <si>
    <t>Tanker capacity</t>
  </si>
  <si>
    <t>Tanker liquids pump flowrate - oil</t>
  </si>
  <si>
    <t>kL/h</t>
  </si>
  <si>
    <t>Tanker liquids pump flowrate - water</t>
  </si>
  <si>
    <t>Water transfer pumping rate</t>
  </si>
  <si>
    <t>Material Properties</t>
  </si>
  <si>
    <t>Specific mass of structural steel - columns</t>
  </si>
  <si>
    <t>kg/m</t>
  </si>
  <si>
    <t>Specific mass of structural steel - cross beams</t>
  </si>
  <si>
    <t>Specific mass 50 mm steel pipe</t>
  </si>
  <si>
    <t>Concrete density</t>
  </si>
  <si>
    <t>t / m3</t>
  </si>
  <si>
    <t>Steel density</t>
  </si>
  <si>
    <t xml:space="preserve">https://www.engineeringtoolbox.com/metal-alloys-densities-d_50.html </t>
  </si>
  <si>
    <t>20 to 30% swell</t>
  </si>
  <si>
    <t>Aluminium density</t>
  </si>
  <si>
    <t>https://www.australwright.com.au/products/aluminium/</t>
  </si>
  <si>
    <t>Asbestos sheet specific density</t>
  </si>
  <si>
    <t>Asbestos pipe specific density</t>
  </si>
  <si>
    <t>t / m</t>
  </si>
  <si>
    <t>Explosives density</t>
  </si>
  <si>
    <t>Powder factor</t>
  </si>
  <si>
    <t>kg / m3</t>
  </si>
  <si>
    <t>Pit Bunds</t>
  </si>
  <si>
    <t>Bund height</t>
  </si>
  <si>
    <t>Bund top width</t>
  </si>
  <si>
    <t>Bund base width</t>
  </si>
  <si>
    <t>Bund Swell</t>
  </si>
  <si>
    <t>Bund footprint additional width to prepare</t>
  </si>
  <si>
    <t>Rail, Haul Roads,  Tracks, Roads and Overpasses</t>
  </si>
  <si>
    <t>Haul road rock / gravel / bitumen cover</t>
  </si>
  <si>
    <t>Haul road width</t>
  </si>
  <si>
    <t>Track rock / gravel / bitumen cover</t>
  </si>
  <si>
    <t>Track width</t>
  </si>
  <si>
    <t>Haul road / track / rail growth media  thickness</t>
  </si>
  <si>
    <t>Overpass pavement thickness</t>
  </si>
  <si>
    <t>Steel reinforcing in concrete</t>
  </si>
  <si>
    <t>kg/m3</t>
  </si>
  <si>
    <t>Aretoulis et al 2017</t>
  </si>
  <si>
    <t>Railway line specific mass</t>
  </si>
  <si>
    <t>Rail tie spacing</t>
  </si>
  <si>
    <t>Airstrip width</t>
  </si>
  <si>
    <t>Airstrip with gravel - thickness</t>
  </si>
  <si>
    <t>Soil and Solids Properties</t>
  </si>
  <si>
    <t>Sand dry density</t>
  </si>
  <si>
    <t>https://www.engineeringtoolbox.com/soil-rock-bulking-factor-d_1557.html</t>
  </si>
  <si>
    <t>Sand wet density</t>
  </si>
  <si>
    <t>Sand dry swell</t>
  </si>
  <si>
    <t>Sand wet swell</t>
  </si>
  <si>
    <t>Silt density</t>
  </si>
  <si>
    <t>https://www.engineeringtoolbox.com/concrete-properties-d_1223.html</t>
  </si>
  <si>
    <t>20 to 40% swell</t>
  </si>
  <si>
    <t>Silt swell</t>
  </si>
  <si>
    <t>Clay density</t>
  </si>
  <si>
    <t>Clay swell</t>
  </si>
  <si>
    <t>Growth media soil density</t>
  </si>
  <si>
    <t>Soil swell</t>
  </si>
  <si>
    <t>40 to 80% swell</t>
  </si>
  <si>
    <t>Sludge density</t>
  </si>
  <si>
    <t>Rock cover density</t>
  </si>
  <si>
    <t>Rock cover swell</t>
  </si>
  <si>
    <t>Salt density</t>
  </si>
  <si>
    <t>t/m3</t>
  </si>
  <si>
    <t>Storage Site - One-way Travel Distances (assumptions for default rates)</t>
  </si>
  <si>
    <t>Storage site</t>
  </si>
  <si>
    <t xml:space="preserve"> For re-useable plant and equipment (e.g. generator)</t>
  </si>
  <si>
    <t>Tank Details</t>
  </si>
  <si>
    <t>Geomembrane specific mass</t>
  </si>
  <si>
    <t>Silo steel thickness</t>
  </si>
  <si>
    <t>Silo concrete pad thickness</t>
  </si>
  <si>
    <t>Rail loading bin steel thickness</t>
  </si>
  <si>
    <t>Thickening tanks</t>
  </si>
  <si>
    <t>Thickening tanks steel thickness</t>
  </si>
  <si>
    <t>Concrete rail loading bin thickness</t>
  </si>
  <si>
    <t>Buried tank steel thickness</t>
  </si>
  <si>
    <t>Excavator Cut Liner</t>
  </si>
  <si>
    <t xml:space="preserve">Excavator Liner Rolling </t>
  </si>
  <si>
    <t>Underground Mines</t>
  </si>
  <si>
    <t>Concrete plug thickness</t>
  </si>
  <si>
    <t>Grout wastage factor</t>
  </si>
  <si>
    <t>Underground mine growth media thickness</t>
  </si>
  <si>
    <t>Waste - One-way Travel Distances (assumptions for default rates)</t>
  </si>
  <si>
    <t>Asbestos in soil disposal</t>
  </si>
  <si>
    <t>Concrete disposal</t>
  </si>
  <si>
    <t>Includes concrete, rubble, liners</t>
  </si>
  <si>
    <t>Incidental waste disposal</t>
  </si>
  <si>
    <t>Liquid waster disposal</t>
  </si>
  <si>
    <t>Local landfill / low level waste / general waste</t>
  </si>
  <si>
    <t>Restricted waste disposal</t>
  </si>
  <si>
    <t>Solid salt disposal</t>
  </si>
  <si>
    <t>Steel and electrical refuse disposal</t>
  </si>
  <si>
    <t>General assumption</t>
  </si>
  <si>
    <t>Global</t>
  </si>
  <si>
    <t>Tailings Storage Facilities - Capping Thickness Default Assumptions</t>
  </si>
  <si>
    <t>"Adverse"</t>
  </si>
  <si>
    <t>"Efficient"</t>
  </si>
  <si>
    <t>"Ideal"</t>
  </si>
  <si>
    <t>New rate in 2025</t>
  </si>
  <si>
    <t>Embankment Rock Cover</t>
  </si>
  <si>
    <t>Ramps Rock Cover</t>
  </si>
  <si>
    <t>Working Layer</t>
  </si>
  <si>
    <t>Capillary Break Layer</t>
  </si>
  <si>
    <t>Low Permeability Layer</t>
  </si>
  <si>
    <t>Top Rock Cover</t>
  </si>
  <si>
    <t>% of mass</t>
  </si>
  <si>
    <t xml:space="preserve">Assumption in default rates for proportion of mass of growth media that is purchased off-site </t>
  </si>
  <si>
    <t>Waste Rock Dump - Capping Thickness Assumptions</t>
  </si>
  <si>
    <t>Ramps / Batter Rock Cover</t>
  </si>
  <si>
    <t>Heap Leach Pad - Capping Thickness Assumptions</t>
  </si>
  <si>
    <t>The values can be changed in the User Entered tables in the Input sheets. If a user enters a lower value, they must provide justification.</t>
  </si>
  <si>
    <t>escalation</t>
  </si>
  <si>
    <t>Old Item</t>
  </si>
  <si>
    <t>New Category</t>
  </si>
  <si>
    <t>New Sheet</t>
  </si>
  <si>
    <t>Activity Description</t>
  </si>
  <si>
    <t>New Activity Description</t>
  </si>
  <si>
    <t>New Unit</t>
  </si>
  <si>
    <t>Old Rate</t>
  </si>
  <si>
    <t>Escalated from 2021</t>
  </si>
  <si>
    <t>New Rate</t>
  </si>
  <si>
    <t>Diff from 2021</t>
  </si>
  <si>
    <t>Diff from 2021 esc to 2024</t>
  </si>
  <si>
    <t>Qld 2022</t>
  </si>
  <si>
    <t>Comment on rate selection</t>
  </si>
  <si>
    <t>Source 2</t>
  </si>
  <si>
    <t xml:space="preserve">Source 16 </t>
  </si>
  <si>
    <t>Source comment</t>
  </si>
  <si>
    <t>Justification and Assumptions for Proposed Rates</t>
  </si>
  <si>
    <t>New Description</t>
  </si>
  <si>
    <t>Termination of Services and Demolition Works</t>
  </si>
  <si>
    <t>Match old</t>
  </si>
  <si>
    <t>Disconnect and terminate all services (Water, electricity, gas etc at point of attachment to site)</t>
  </si>
  <si>
    <t>allow</t>
  </si>
  <si>
    <t>First principals build-up</t>
  </si>
  <si>
    <t>None</t>
  </si>
  <si>
    <t>For disconnection of all services, at building boundaries, physical cut at the point of attachment or distribution location.  If infrastructure is not consolidated (i.e., administration, camp and workshops are in separate places), consider multiple disconnection fees.</t>
  </si>
  <si>
    <t>Disconnect and terminate services at remote areas  (i.e. pump stations, remote workshops, sewage treatment plant etc.)</t>
  </si>
  <si>
    <t>Used for infrastructure remote from primary connection.
Can also be used for small mines / quarries that do not have dedicated supplies from supply authorities such as steel lattice power lines.</t>
  </si>
  <si>
    <t>Removal of low/medium voltage powerlines including disconnection, rolling up the wires and removing the poles - does not include the removal of substations</t>
  </si>
  <si>
    <t>Applies to power lines on stobie, concrete or similar poles.</t>
  </si>
  <si>
    <t>Removal of power lines on tower or lattice structures (this includes disconnection, rolling up the wires and removing the structures) - does not include the removal of substations</t>
  </si>
  <si>
    <t>Applies to power lines on steel tower and steel lattice structures assuming 3 towers / km.</t>
  </si>
  <si>
    <t>1.05a</t>
  </si>
  <si>
    <r>
      <t xml:space="preserve">Remove </t>
    </r>
    <r>
      <rPr>
        <u/>
        <sz val="10"/>
        <rFont val="Arial"/>
        <family val="2"/>
      </rPr>
      <t xml:space="preserve">small </t>
    </r>
    <r>
      <rPr>
        <sz val="10"/>
        <rFont val="Arial"/>
        <family val="2"/>
      </rPr>
      <t>rail, road, water course overpass - manage potential interruptions and demolish and remove bridge supports/pylons/bridge structure etc. and dispose of waste material on-site/locally</t>
    </r>
  </si>
  <si>
    <t>Between benchmark of of Source 1 and previous rate. Source 2 rate outlier.</t>
  </si>
  <si>
    <t>Source 1: Concrete bridge at 250sqm. Includes full machine and staff mobilisation for works to be completed with 1 week. All material to be disposed of on-site.
Source 2: $4500 per m2. Cost on assumed footprint of 250 m2</t>
  </si>
  <si>
    <t>Smaller structures - minimal civil works to demolish (constructed for the purposes of mining related works - does not include transport to regional disposal facility or equivalent).</t>
  </si>
  <si>
    <t>1.05b</t>
  </si>
  <si>
    <r>
      <t xml:space="preserve">Remove </t>
    </r>
    <r>
      <rPr>
        <u/>
        <sz val="10"/>
        <rFont val="Arial"/>
        <family val="2"/>
      </rPr>
      <t>medium</t>
    </r>
    <r>
      <rPr>
        <sz val="10"/>
        <rFont val="Arial"/>
        <family val="2"/>
      </rPr>
      <t xml:space="preserve"> rail, road, water course overpass - manage potential interruptions and demolish and remove bridge supports/pylons/bridge structure etc. and dispose of waste material on-site/locally</t>
    </r>
  </si>
  <si>
    <t>Similar to escalated previous rate and in the order of magnitude of Source 1. Source 2 outlier.</t>
  </si>
  <si>
    <t>Source 1: Concrete bridge at 500sqm. Includes full machine and staff mobilisation, with site facilities for works to be completed in 2 weeks. All materials to be disposed of on-site.
Source 2: $6500 per m2. Cost on assumed footprint of 500 m2</t>
  </si>
  <si>
    <t>Medium structures - minimal civil works to demolish (constructed for the purposes of mining related works - does not include transport to regional disposal facility or equivalent).</t>
  </si>
  <si>
    <t>1.05c</t>
  </si>
  <si>
    <r>
      <t xml:space="preserve">Remove </t>
    </r>
    <r>
      <rPr>
        <u/>
        <sz val="10"/>
        <rFont val="Arial"/>
        <family val="2"/>
      </rPr>
      <t>large / significant</t>
    </r>
    <r>
      <rPr>
        <sz val="10"/>
        <rFont val="Arial"/>
        <family val="2"/>
      </rPr>
      <t xml:space="preserve"> rail, road, water course overpass - manage potential interruptions and demolish and remove bridge supports/pylons/bridge structure etc. and dispose of waste material on-site/locally</t>
    </r>
  </si>
  <si>
    <t>Higher than escalated previous rate and in the order of magnitude of Source 1. Source 2 outlier.</t>
  </si>
  <si>
    <t>Source 1:  Concrete bridge at 2000 sqm. Includes full machine and staff mobilisation, with site facilities for works to be completed in 5 weeks. All materials to be disposed of on-site.
Source 2: $8000 per m2. Cost on assumed footprint of 2000 m2</t>
  </si>
  <si>
    <t>Large structures - includes significant water management e.g. watercourse diversion and civil works to demolish (constructed for the purposes of mining related works - does not include transport to regional disposal facility or equivalent).</t>
  </si>
  <si>
    <t>Demolish and/or remove substations (assumes they are in a closed building). Dispose of waste material on-site/locally</t>
  </si>
  <si>
    <r>
      <t>m</t>
    </r>
    <r>
      <rPr>
        <vertAlign val="superscript"/>
        <sz val="10"/>
        <rFont val="Arial"/>
        <family val="2"/>
      </rPr>
      <t>2</t>
    </r>
  </si>
  <si>
    <t>Simple structure to demolish mechanically (no labour required), assumes single story building with no asbestos and segregation of contents for scrap as applicable.</t>
  </si>
  <si>
    <t>New</t>
  </si>
  <si>
    <t>No previous rate</t>
  </si>
  <si>
    <t>Infrastructure Area and Beneficiation Facility</t>
  </si>
  <si>
    <t>Demolish and remove switchyard. Dispose of waste material on-site/locally</t>
  </si>
  <si>
    <t>Includes demolition and removal of all switchgear and transformers etc. and segregation of contents for scrap as applicable.</t>
  </si>
  <si>
    <t>Demolish and remove demountable structures on concrete stumps. Assumes not being re-used</t>
  </si>
  <si>
    <t>Between benchmark and previous rate</t>
  </si>
  <si>
    <t>Crib huts, temporary offices and other 'non permanent' structures. Does not include transport to regional disposal facility or equivalent.</t>
  </si>
  <si>
    <t>Infrastructure area</t>
  </si>
  <si>
    <t>Demolish and remove small buildings/tanks (admin buildings, single story accommodation etc) and disposal on-site/locally</t>
  </si>
  <si>
    <r>
      <t>m</t>
    </r>
    <r>
      <rPr>
        <vertAlign val="superscript"/>
        <sz val="10"/>
        <rFont val="Arial"/>
        <family val="2"/>
      </rPr>
      <t>2</t>
    </r>
    <r>
      <rPr>
        <sz val="11"/>
        <color theme="1"/>
        <rFont val="Calibri"/>
        <family val="2"/>
        <scheme val="minor"/>
      </rPr>
      <t/>
    </r>
  </si>
  <si>
    <t>Includes transport and disposal. Between Source 1 and 2.</t>
  </si>
  <si>
    <t>Source 1: Includes for full machinery and staff mobilisation for demolition of 1260sqm in total surface area over 5 days. No allowance for disposal of materials off site, nor for any hazardous materials (i.e. ACM) within buildings.</t>
  </si>
  <si>
    <t>Simple structure to demolish, assumes no greater than 2 stories high. Does not include transport to regional disposal facility or equivalent.</t>
  </si>
  <si>
    <t>Demolish and remove light industrial buildings and disposal on-site/locally</t>
  </si>
  <si>
    <r>
      <t>m</t>
    </r>
    <r>
      <rPr>
        <vertAlign val="superscript"/>
        <sz val="10"/>
        <rFont val="Arial"/>
        <family val="2"/>
      </rPr>
      <t>2</t>
    </r>
    <r>
      <rPr>
        <sz val="10"/>
        <rFont val="Arial"/>
        <family val="2"/>
      </rPr>
      <t>/floor</t>
    </r>
  </si>
  <si>
    <t>Needs to be calculated per floor/level (Assume 1 floor/level = 3-4 m) - does not include transport to regional disposal facility or equivalent.  Assumes asbestos free and mechanically demolished.</t>
  </si>
  <si>
    <r>
      <t>Demolish and remove industrial buildings (workshops tyre change and servicing area etc</t>
    </r>
    <r>
      <rPr>
        <b/>
        <sz val="10"/>
        <rFont val="Arial"/>
        <family val="2"/>
      </rPr>
      <t xml:space="preserve"> not CHPP/process plant</t>
    </r>
    <r>
      <rPr>
        <sz val="10"/>
        <rFont val="Arial"/>
        <family val="2"/>
      </rPr>
      <t>) and disposal on-site/locally</t>
    </r>
  </si>
  <si>
    <t>Needs to be calculated per floor/level (Assume 1 floor/level = 3-4 m). Does not include transport to regional disposal facility or equivalent.</t>
  </si>
  <si>
    <t>Process Facilities</t>
  </si>
  <si>
    <r>
      <t>Demolish and remove CHPP/process plant (</t>
    </r>
    <r>
      <rPr>
        <b/>
        <sz val="10"/>
        <rFont val="Arial"/>
        <family val="2"/>
      </rPr>
      <t>include the area of each floor of the structure</t>
    </r>
    <r>
      <rPr>
        <sz val="10"/>
        <rFont val="Arial"/>
        <family val="2"/>
      </rPr>
      <t>) and disposal on-site/locally</t>
    </r>
  </si>
  <si>
    <t>Collapse, demolish and remove washery, crushers, hoppers, mills, furnaces, agglomeration, electrowinning, floatation, sizing stations, rotary breakers, etc (include the area of each floor of the structure) and disposal on-site/locally</t>
  </si>
  <si>
    <r>
      <t xml:space="preserve">Collapse, demolish and remove </t>
    </r>
    <r>
      <rPr>
        <b/>
        <sz val="10"/>
        <rFont val="Arial"/>
        <family val="2"/>
      </rPr>
      <t>stacker OR reclaimer (radial or luffing etc. with maneuverability for stockpile control)</t>
    </r>
    <r>
      <rPr>
        <sz val="10"/>
        <rFont val="Arial"/>
        <family val="2"/>
      </rPr>
      <t xml:space="preserve"> and disposal on-site/locally</t>
    </r>
  </si>
  <si>
    <t>Lower benchmark is close to inflated existing rate. Selected mid-point.</t>
  </si>
  <si>
    <t>Source 1:  Includes full machinery (3 excavators) and staff mobilisation including site facilities. Works to be completed, inclusive of scrap processing for off site recycling, within 8 weeks.</t>
  </si>
  <si>
    <t>Cost for removal of stacker or reclaim unit only. Does not include terminate services, remove rails and ballast etc. Does not include transport to regional disposal facility or equivalent.</t>
  </si>
  <si>
    <r>
      <t xml:space="preserve">Collapse, demolish and remove </t>
    </r>
    <r>
      <rPr>
        <b/>
        <sz val="10"/>
        <rFont val="Arial"/>
        <family val="2"/>
      </rPr>
      <t>bucket wheel stacker/reclaimer</t>
    </r>
    <r>
      <rPr>
        <sz val="10"/>
        <rFont val="Arial"/>
        <family val="2"/>
      </rPr>
      <t xml:space="preserve"> and disposal on-site/locally</t>
    </r>
  </si>
  <si>
    <t>Lower benchmark is less than inflated existing rate. Higher rate close to inflated value. Use inflated rate.</t>
  </si>
  <si>
    <t>Source 1: Includes full machinery (3 excavators) and staff mobilisation including site facilities. Works to be completed, inclusive of scrap processing for off site recycling, within 5 weeks.</t>
  </si>
  <si>
    <t>Cost for just removal of the bucket wheel stacker/reclaim units. Does not include terminate services, remove rails and ballast etc. Does not include transport to regional disposal facility or equivalent.</t>
  </si>
  <si>
    <t>Remove stacker/reclaimer rails and ballast and demolish and remove concrete footings etc and disposal on-site/locally</t>
  </si>
  <si>
    <r>
      <t xml:space="preserve">Includes both rails, does </t>
    </r>
    <r>
      <rPr>
        <b/>
        <sz val="10"/>
        <rFont val="Arial"/>
        <family val="2"/>
      </rPr>
      <t>not</t>
    </r>
    <r>
      <rPr>
        <sz val="10"/>
        <rFont val="Arial"/>
        <family val="2"/>
      </rPr>
      <t xml:space="preserve"> include the conveyor system. Does not include transport to regional disposal facility or equivalent.</t>
    </r>
  </si>
  <si>
    <t>Collapse, Cut and Remove 5000T coal silo and disposal on-site/locally</t>
  </si>
  <si>
    <t>Silo</t>
  </si>
  <si>
    <t>Collapse structure and remove. Does not include transport to regional disposal facility or equivalent.</t>
  </si>
  <si>
    <t>Collapse, Cut and Remove 3000 T coal silo and disposal on-site/locally</t>
  </si>
  <si>
    <t>Collapse, Cut and Remove 1250 T coal silo and disposal on-site/locally</t>
  </si>
  <si>
    <t>Collapse, Cut and Remove rail loading bins and disposal on-site/locally</t>
  </si>
  <si>
    <t>Bin</t>
  </si>
  <si>
    <t>1.20a</t>
  </si>
  <si>
    <t>Demolish and Remove large concrete rail loading bin - and disposal on-site/locally</t>
  </si>
  <si>
    <t>First principals build-up and confirmed with Mike S</t>
  </si>
  <si>
    <r>
      <t xml:space="preserve">Demolish and remove </t>
    </r>
    <r>
      <rPr>
        <b/>
        <sz val="10"/>
        <rFont val="Arial"/>
        <family val="2"/>
      </rPr>
      <t xml:space="preserve">onground </t>
    </r>
    <r>
      <rPr>
        <sz val="10"/>
        <rFont val="Arial"/>
        <family val="2"/>
      </rPr>
      <t>conveyors, transfer stations &amp; gantries (scrap only – does not include dismantling for reuse at another site) and disposal on-site/locally</t>
    </r>
  </si>
  <si>
    <t>Estimate for on-ground conveyor including anything up to 10 m off the ground. Does not include transport to regional disposal facility or equivalent.</t>
  </si>
  <si>
    <r>
      <t xml:space="preserve">Demolish and remove </t>
    </r>
    <r>
      <rPr>
        <b/>
        <sz val="10"/>
        <rFont val="Arial"/>
        <family val="2"/>
      </rPr>
      <t xml:space="preserve">elevated </t>
    </r>
    <r>
      <rPr>
        <sz val="10"/>
        <rFont val="Arial"/>
        <family val="2"/>
      </rPr>
      <t>conveyors, transfer stations &amp; gantries (scrap only, does not include dismantling for reuse at another site) and disposal on-site/locally</t>
    </r>
  </si>
  <si>
    <t>Estimate for elevated conveyor up to ~10 m off the ground. Does not include transport to regional disposal facility or equivalent.</t>
  </si>
  <si>
    <r>
      <t xml:space="preserve">Demolish and remove </t>
    </r>
    <r>
      <rPr>
        <b/>
        <sz val="10"/>
        <rFont val="Arial"/>
        <family val="2"/>
      </rPr>
      <t>overhead</t>
    </r>
    <r>
      <rPr>
        <sz val="10"/>
        <rFont val="Arial"/>
        <family val="2"/>
      </rPr>
      <t xml:space="preserve"> conveyors, transfer stations &amp; gantries (scrap only, does not include dismantling for reuse at another site) and disposal on-site/locally. 
</t>
    </r>
    <r>
      <rPr>
        <b/>
        <sz val="10"/>
        <rFont val="Arial"/>
        <family val="2"/>
      </rPr>
      <t>This may include small scale fixed material stacking infrastructure</t>
    </r>
  </si>
  <si>
    <t>Estimate for overhead conveyor including conveyors that are &gt;10 m off the ground that require a crane to remove. Does not include transport to regional disposal facility or equivalent.</t>
  </si>
  <si>
    <r>
      <t xml:space="preserve">Remove and demolish conveyor from reclaim tunnel (Does </t>
    </r>
    <r>
      <rPr>
        <b/>
        <sz val="10"/>
        <rFont val="Arial"/>
        <family val="2"/>
      </rPr>
      <t xml:space="preserve">not </t>
    </r>
    <r>
      <rPr>
        <sz val="10"/>
        <rFont val="Arial"/>
        <family val="2"/>
      </rPr>
      <t>include excavation and demolition of reclaim tunnel roof)</t>
    </r>
  </si>
  <si>
    <t>Due to no canopy or infrastructure attached.</t>
  </si>
  <si>
    <r>
      <t xml:space="preserve">Demolition of reclaim tunnel concrete (Assumes complete removal and </t>
    </r>
    <r>
      <rPr>
        <b/>
        <sz val="10"/>
        <rFont val="Arial"/>
        <family val="2"/>
      </rPr>
      <t>dumping in mine pit void</t>
    </r>
    <r>
      <rPr>
        <sz val="10"/>
        <rFont val="Arial"/>
        <family val="2"/>
      </rPr>
      <t>)</t>
    </r>
  </si>
  <si>
    <t>Assumes this area will be used for another land-use that requires the structure to be dug up and re-buried somewhere else.</t>
  </si>
  <si>
    <t>Demolition and removal of vent raise fans, electrical substation and winch and disposal on-site/locally</t>
  </si>
  <si>
    <t>set</t>
  </si>
  <si>
    <t>Source 1: Includes full machinery and staff mobilisation. Works to be completed in 1 week. Waste materials to disposed on-site.</t>
  </si>
  <si>
    <r>
      <t xml:space="preserve">Does </t>
    </r>
    <r>
      <rPr>
        <b/>
        <sz val="10"/>
        <rFont val="Arial"/>
        <family val="2"/>
      </rPr>
      <t>not</t>
    </r>
    <r>
      <rPr>
        <sz val="10"/>
        <rFont val="Arial"/>
        <family val="2"/>
      </rPr>
      <t xml:space="preserve"> include filling and capping the shaft. Does not include transport to regional disposal facility or equivalent.</t>
    </r>
  </si>
  <si>
    <r>
      <t xml:space="preserve">Demolish and remove small tank </t>
    </r>
    <r>
      <rPr>
        <b/>
        <sz val="10"/>
        <rFont val="Arial"/>
        <family val="2"/>
      </rPr>
      <t>clean</t>
    </r>
    <r>
      <rPr>
        <sz val="10"/>
        <rFont val="Arial"/>
        <family val="2"/>
      </rPr>
      <t xml:space="preserve"> (Thickener etc 3 - 9 m diameter) and disposal on-site/locally</t>
    </r>
  </si>
  <si>
    <t>Tank</t>
  </si>
  <si>
    <t>Assume tank is clean - contents removed.  If tank is full allow extra 30% for excavator and 2 men to dig out and dispose. Does not include transport to regional disposal facility or equivalent.</t>
  </si>
  <si>
    <r>
      <t xml:space="preserve">Demolish and remove medium tank </t>
    </r>
    <r>
      <rPr>
        <b/>
        <sz val="10"/>
        <rFont val="Arial"/>
        <family val="2"/>
      </rPr>
      <t>clean</t>
    </r>
    <r>
      <rPr>
        <sz val="10"/>
        <rFont val="Arial"/>
        <family val="2"/>
      </rPr>
      <t xml:space="preserve"> (Thickener etc 10 - 15 m diameter) and disposal on-site/locally</t>
    </r>
  </si>
  <si>
    <r>
      <t xml:space="preserve">Demolish and remove large tank </t>
    </r>
    <r>
      <rPr>
        <b/>
        <sz val="10"/>
        <rFont val="Arial"/>
        <family val="2"/>
      </rPr>
      <t>clean</t>
    </r>
    <r>
      <rPr>
        <sz val="10"/>
        <rFont val="Arial"/>
        <family val="2"/>
      </rPr>
      <t xml:space="preserve"> (Thickener etc 15 - 30 m diameter) and disposal on-site/locally</t>
    </r>
  </si>
  <si>
    <r>
      <t xml:space="preserve">Demolish and remove extra large tank </t>
    </r>
    <r>
      <rPr>
        <b/>
        <sz val="10"/>
        <rFont val="Arial"/>
        <family val="2"/>
      </rPr>
      <t xml:space="preserve">clean </t>
    </r>
    <r>
      <rPr>
        <sz val="10"/>
        <rFont val="Arial"/>
        <family val="2"/>
      </rPr>
      <t>(Thickener etc &gt;30 m diameter) and disposal on-site/locally</t>
    </r>
  </si>
  <si>
    <r>
      <t xml:space="preserve">Demolish and remove tank </t>
    </r>
    <r>
      <rPr>
        <b/>
        <sz val="10"/>
        <rFont val="Arial"/>
        <family val="2"/>
      </rPr>
      <t xml:space="preserve">clean </t>
    </r>
    <r>
      <rPr>
        <sz val="10"/>
        <rFont val="Arial"/>
        <family val="2"/>
      </rPr>
      <t xml:space="preserve">(Thickener etc) </t>
    </r>
    <r>
      <rPr>
        <b/>
        <sz val="10"/>
        <rFont val="Arial"/>
        <family val="2"/>
      </rPr>
      <t>&gt;50 m diameter</t>
    </r>
    <r>
      <rPr>
        <sz val="10"/>
        <rFont val="Arial"/>
        <family val="2"/>
      </rPr>
      <t xml:space="preserve"> and disposal on-site/locally</t>
    </r>
  </si>
  <si>
    <t>Estimate only - may require a detailed assessment from demolition expert due to specialised equipment required for removal. Does not include transport to regional disposal facility or equivalent.</t>
  </si>
  <si>
    <t>Removal of UG tank &lt;5000 L - including pipes, bunds etc. and disposal on-site/locally</t>
  </si>
  <si>
    <t>Assume tank is clean (contents removed), does not include transport to regional disposal facility or equivalent.</t>
  </si>
  <si>
    <t>Removal of UG tank 5000 L - 15000 L - including pipes, bunds etc. and disposal on-site/locally</t>
  </si>
  <si>
    <t>Remove small underground pipe and disposal on-site/locally</t>
  </si>
  <si>
    <t>For example: 300 mm pipes - 0.5 m deep, does not include transport to regional disposal facility or equivalent.</t>
  </si>
  <si>
    <t>Remove medium underground pipe and disposal on-site/locally</t>
  </si>
  <si>
    <t>For example: 500 mm pipes - 1 m deep, does not include transport to regional disposal facility or equivalent.</t>
  </si>
  <si>
    <t>Remove large underground pipe and disposal on-site/locally</t>
  </si>
  <si>
    <t>For example: 1 m pipes - 2 m deep.</t>
  </si>
  <si>
    <t>Remove above ground pipe (supported) and disposal on-site/locally</t>
  </si>
  <si>
    <t>Remove surface pipelines (unsupported) and disposal on-site/locally</t>
  </si>
  <si>
    <t>~300 mm pipes and assumes pipes are in close proximity to infrastructure areas. Does not include transport to regional disposal facility or equivalent.</t>
  </si>
  <si>
    <t>~300 mm pipes and assumes pipes are used for water transfer between pits (or similar) and remotely located. Does not include transport to regional disposal facility or equivalent.</t>
  </si>
  <si>
    <t>Remove pump and pontoon from small lake or dam including pipes and electrical supply or diesel tank/s</t>
  </si>
  <si>
    <t>pump</t>
  </si>
  <si>
    <t>Includes equipment for retrieval - boats, etc. and labour. Does not include transport to regional disposal facility or equivalent.</t>
  </si>
  <si>
    <t>Remove bitumen (car park and access roads) and dispose on-site/locally</t>
  </si>
  <si>
    <t>Original rate unlikely to be built on first principles.</t>
  </si>
  <si>
    <t>Source 1: Includes machinery and staff mobilisation, pavements up to 5,000sqm at a nominal depth of 50mm. Millings to be stockpiled on-site.</t>
  </si>
  <si>
    <t xml:space="preserve">Scalp bitumen and stabilised material.  Generally haulage rates will be $0.60 - $1.20 / km, depending on truck fleet, loaders etc. For off-site disposal use alternate rate option and add $0.90 / km for transport. </t>
  </si>
  <si>
    <t>Remove bitumen (airstrip) and dispose on-site/locally</t>
  </si>
  <si>
    <t>Remove concrete pads &amp; footings (&lt;300 mm thickness) and disposal on-site/locally</t>
  </si>
  <si>
    <t>First principals build-up. Source 1 rates include mobe and productivity is low compared to Caterpillar mamual rates.</t>
  </si>
  <si>
    <t>Source 1: Includes full mobilisation of machinery and staff. Allowed for 1000sqm of concrete at &lt;300mm to be completed in 3 days. All materials generated to remain on-site.</t>
  </si>
  <si>
    <t>Breaking up slab and disposal or for conversion to aggregate. Generally haulage rates will be $0.60 - $1.20 / km, depending on truck fleet, loaders etc.  For off-site disposal use alternate rate option and add $0.90 / km for transport.</t>
  </si>
  <si>
    <t>Remove concrete pads &amp; footings (&gt;300 mm thickness) and disposal on-site/locally</t>
  </si>
  <si>
    <t>Source 1: Includes full mobilisation of machinery and staff. Allowed for 1000sqm of concrete at 500mm to be completed in 6 days. All materials generated to remain on-site.</t>
  </si>
  <si>
    <t xml:space="preserve">Breaking up slab and disposal or for conversion to aggregate. Generally haulage rates will be $0.60 - $1.20 / km, depending on truck fleet, loaders etc. For off-site disposal use alternate rate option and add $0.90 / km for transport. </t>
  </si>
  <si>
    <r>
      <t xml:space="preserve">Crush concrete to make road aggregate - </t>
    </r>
    <r>
      <rPr>
        <b/>
        <sz val="10"/>
        <rFont val="Arial"/>
        <family val="2"/>
      </rPr>
      <t>75 mm</t>
    </r>
  </si>
  <si>
    <t>2013 contractor estimate $10/t (about $14 in 2025 at 3%), contractor 2025 estimate includes mobilisation so over-estimates. Selected value is calculated and calibrated against current value and contractor value.</t>
  </si>
  <si>
    <t>Source 1: Allows for full crushing equipment (pulveriser, impactor, stacker &amp; Loader) and staff mobilisation. 10,000t of concrete to be crushed over 2 weeks. Materials to be stockpiled on-site adjacent to crushing operations.</t>
  </si>
  <si>
    <t>Does not include haulage of materials - assumes crushing plant is readily available.</t>
  </si>
  <si>
    <r>
      <t xml:space="preserve">Crush concrete to make road aggregate - </t>
    </r>
    <r>
      <rPr>
        <b/>
        <sz val="10"/>
        <rFont val="Arial"/>
        <family val="2"/>
      </rPr>
      <t>50 mm</t>
    </r>
  </si>
  <si>
    <t>Source 1: Allows for full crushing equipment (pulveriser, impactor, stacker &amp; Loader) and staff mobilisation. 10,000t of concrete to be crushed over 3 weeks. Materials to be stockpiled on-site adjacent to crushing operations.</t>
  </si>
  <si>
    <r>
      <t xml:space="preserve">Crush concrete to make road aggregate - </t>
    </r>
    <r>
      <rPr>
        <b/>
        <sz val="10"/>
        <rFont val="Arial"/>
        <family val="2"/>
      </rPr>
      <t>30 mm</t>
    </r>
  </si>
  <si>
    <t>Source 1: Allows for full crushing equipment (pulveriser, impactor, stacker &amp; Loader) and staff mobilisation. 10,000t of concrete to be crushed over 4 weeks. Materials to be stockpiled on-site adjacent to crushing operations.</t>
  </si>
  <si>
    <t>Remove fence (cyclone/wire fence) and disposal on-site/locally</t>
  </si>
  <si>
    <t>Roll up fence and remove posts.</t>
  </si>
  <si>
    <t>Removal of small plastic tanks</t>
  </si>
  <si>
    <t>each</t>
  </si>
  <si>
    <t>Source 1: Includes for full machinery and staff mobilisation for works to be completed in 2 days. Allows for plastic to be disposed of at local landfill. No allowance for any remnant liquid disposal.</t>
  </si>
  <si>
    <t>Remove small poly tanks used for water storage, etc.</t>
  </si>
  <si>
    <t>Demolish and remove galvanised/corrugated light weight tanks</t>
  </si>
  <si>
    <t>Source 1: Includes for full machinery and staff mobilisation for works to be completed in 2 days. No allowance for any remnant liquid disposal.</t>
  </si>
  <si>
    <t>Demolish and remove small lightweight metal tanks.  No costs included for managing liquids, etc.</t>
  </si>
  <si>
    <t>Demolish and remove communication towers</t>
  </si>
  <si>
    <t>First principals build-up. Higher than source 2 and previous rate, lower than Source 1 and Qld ERC.</t>
  </si>
  <si>
    <t>Source 1: Includes for full machinery and staff mobilisation. Have allowed for 3 days to complete task. No allowance for processing or removing of materials generated off-site. No allowance for any services disconnections prior to demolition works. Source 2: based on recent pricing.</t>
  </si>
  <si>
    <t>Cost includes demolition and removal of tower only; separate costs required for disconnection of services, demolition of footings, etc.</t>
  </si>
  <si>
    <t>Removal of UG services (power within main gate areas, etc.)</t>
  </si>
  <si>
    <t>Assume service disconnection at the mine boundary is at surface level. This cost covers all fees and charges</t>
  </si>
  <si>
    <t>N/A</t>
  </si>
  <si>
    <t>Waste disposal to Council landfill (general waste) - haulage &gt;10 km but &lt;15 km</t>
  </si>
  <si>
    <t>First principals build up</t>
  </si>
  <si>
    <t>Rate accounts for round trip haulage to Council landfill but excludes landfill fees.  Input quantity against Waste disposal to Council landfill - fees for relevant waste type.</t>
  </si>
  <si>
    <t>Waste disposal to Council landfill (general waste) - haulage &gt;15 km but &lt;25 km</t>
  </si>
  <si>
    <t>Waste disposal to Council landfill (general waste) - haulage &gt;25 km but &lt;50 km</t>
  </si>
  <si>
    <t>Waste disposal to Council landfill (industrial demolition / concrete / scrap metal) - haulage &gt;10 km but &lt;15 km</t>
  </si>
  <si>
    <t>Waste disposal to Council landfill (industrial demolition / concrete / scrap metal) - haulage &gt;15 km but &lt;25 km</t>
  </si>
  <si>
    <t>Waste disposal to Council landfill (industrial demolition / concrete / scrap metal) - haulage &gt;25 km but &lt;50 km</t>
  </si>
  <si>
    <t>Several</t>
  </si>
  <si>
    <t>Waste disposal to Council landfill - fees (general waste)</t>
  </si>
  <si>
    <t>From facilities, levy added separately.</t>
  </si>
  <si>
    <t>Fee for waste disposal of general waste to local Council landfill; transport rates separate. Please note that this is not applicable to operations with approval for building and demolition waste disposal on site.</t>
  </si>
  <si>
    <t>Waste disposal to Council landfill - fees (industrial demolition / concrete / scrap metal)</t>
  </si>
  <si>
    <t>Fee for waste disposal of industrial demolition / concrete / scrap metal waste to local Council landfill; transport rates separate.  Rate does not assume material is recyclable. Please note that this is not applicable to operations with approval for building and demolition waste disposal on site.</t>
  </si>
  <si>
    <t>Process Facilities and Infrastructure</t>
  </si>
  <si>
    <t>Beneficiation Facility, Infrastructure Area</t>
  </si>
  <si>
    <t>Rail Infrastructure</t>
  </si>
  <si>
    <t>Remove rail loop and spur, ballast etc. and disposal on-site/locally</t>
  </si>
  <si>
    <t>First principles build-up</t>
  </si>
  <si>
    <t>Source 1: Includes growth media and re-seed</t>
  </si>
  <si>
    <t>Remove all materials to allow area to be reshaped and rehabilitated - does not include transport to regional disposal facility or equivalent.</t>
  </si>
  <si>
    <t>Remove train loading facilities and disposal on-site/locally</t>
  </si>
  <si>
    <t>Remove rail load point infrastructure including gantries and control structures. Does not include transport to regional disposal facility or equivalent.</t>
  </si>
  <si>
    <t>Reshape rail spur and load out areas. Does not include growth media and revegetation</t>
  </si>
  <si>
    <t>Will be built up using a standard land rehabilitation that will be applicable to several areas</t>
  </si>
  <si>
    <t>included in other rates</t>
  </si>
  <si>
    <t>Included in other rates</t>
  </si>
  <si>
    <t>D10 Dozer and 16 H Grader (50% utilisation).</t>
  </si>
  <si>
    <t>Contaminated Materials</t>
  </si>
  <si>
    <t>3.01a</t>
  </si>
  <si>
    <t>Undertake a preliminary site investigation (Phase 1). This accounts for current and historical locations where areas of disturbance are clustered.  If there are multiple cluster areas on site, multiple studies may be required.</t>
  </si>
  <si>
    <t>Cluster</t>
  </si>
  <si>
    <t>The preliminary investigation would include at minimum a desktop assessment of the area and site history, incidents, etc. as per the National Environmental Protection (Site Contamination) Measure (NEPM) Phase 1 assessment (EP Act Section 389 (2) (iv)) or similar approved and recognised assessment method.
A cluster may include:
- Mine infrastructure (i.e., fuel / chemical store, workshop, vehicle wash-down, sewage treatment etc.)
- Processing plants (i.e., ore and product storage, mine waste storage and disposal, rail load-out etc.)
- Remote pit-top facilities (i.e., vehicle re-fuel, sewage treatment, secondary workshop, chemical storage etc.)</t>
  </si>
  <si>
    <t>3.01b</t>
  </si>
  <si>
    <r>
      <t xml:space="preserve">Undertake an intrusive site investigation </t>
    </r>
    <r>
      <rPr>
        <b/>
        <u/>
        <sz val="10"/>
        <rFont val="Arial"/>
        <family val="2"/>
      </rPr>
      <t>on sites with small footprints</t>
    </r>
    <r>
      <rPr>
        <sz val="10"/>
        <rFont val="Arial"/>
        <family val="2"/>
      </rPr>
      <t xml:space="preserve"> to investigate e.g. ≤15 ha. This accounts for current and historical locations where areas of disturbance are clustered.  If there are multiple cluster areas on site, multiple intrusive investigations should be included.</t>
    </r>
  </si>
  <si>
    <t>Intrusive site investigation - oneoff costs including health and safety documentation, work plan, hiring / organising equipment, organising contractors and suppliers, allowance for mobe, reporting.</t>
  </si>
  <si>
    <t>Different treatment, if investigation area is 3 ha the costs are equal.</t>
  </si>
  <si>
    <t>The intrusive investigation would include at minimum a site walkover and field sampling as per the National Environmental Protection (Site Contamination) Measure (NEPM) Phase 2 intrusive investigation (EP Act Section 389 (2) (iv)) or similar approved and recognised assessment method.
Note: An intrusive investigation is not required for all contaminated areas and should be applied considering the rehabilitation program, site history, location, etc.
A cluster area where it is highly anticipated that contamination has occurred (i.e., underground tanks / pipes that are known to have leaked, chemical stores with earthen bunds, around ineffective oil/water separators etc.) and further field work is required involving intrusive investigation.
Assumes site is easily accessible and a small area e.g. ~10-15 ha requires investigation and testing (test pits, boreholes, etc.) based on Sampling and Analysis Quality Plan.  Includes SAQP, fieldwork, sampling and analysis.</t>
  </si>
  <si>
    <t>Intrusive site investigation - by area costs including field labour, PM and technical oversight, equipment, laboratory analysis.</t>
  </si>
  <si>
    <t>3.01c</t>
  </si>
  <si>
    <t>N/A One-off costs and by area costs replace this rate.</t>
  </si>
  <si>
    <r>
      <t xml:space="preserve">Undertake an intrusive site investigation </t>
    </r>
    <r>
      <rPr>
        <b/>
        <u/>
        <sz val="10"/>
        <rFont val="Arial"/>
        <family val="2"/>
      </rPr>
      <t>on sites with large footprints</t>
    </r>
    <r>
      <rPr>
        <sz val="10"/>
        <rFont val="Arial"/>
        <family val="2"/>
      </rPr>
      <t xml:space="preserve"> to investigate e.g. &gt;15 ha. This accounts for current and historical locations where areas of disturbance are clustered.  If there are multiple cluster areas on site, multiple intrusive investigations should be included.</t>
    </r>
  </si>
  <si>
    <t>Not needed</t>
  </si>
  <si>
    <t>No new rate proposed</t>
  </si>
  <si>
    <t>The intrusive investigation would include at minimum a site walkover and field sampling as per the National Environmental Protection (Site Contamination) Measure (NEPM) Phase 2 intrusive investigation (EP Act Section 389 (2) (iv)) or similar approved and recognised assessment method.
Note: An intrusive investigation is not required for all contaminated areas and should be applied considering the rehabilitation program, site history, location, etc.
A cluster area where it is highly anticipated that contamination has occurred (i.e., underground tanks / pipes that are known to have leaked, chemical stores with earthen bunds, around ineffective oil/water separators etc.) and further field work is required involving intrusive investigation.
Assume site has a history of contamination and/or a large area &gt;15 ha requires investigation and testing (test pits, boreholes, etc.) based on Sampling and Analysis Quality Plan.    Includes SAQP, fieldwork, sampling and analysis.</t>
  </si>
  <si>
    <t>3.01d</t>
  </si>
  <si>
    <t>Develop a Remediation Action Plan on sites with small footprints based on outcomes of intrusive investigation including strategies to address contamination exceedances</t>
  </si>
  <si>
    <t>Develop a Remediation Action Plan on sites with small footprints and/or low complexity based on outcomes of intrusive investigation including strategies to address contamination exceedances</t>
  </si>
  <si>
    <t>Develop remediation plan for approval including designs and detailed costs.  Costs may increase if detailed designs required for construction.</t>
  </si>
  <si>
    <t>3.01e</t>
  </si>
  <si>
    <t>Develop a Remediation Action Plan on sites with large footprints based on outcomes of intrusive investigation including strategies to address contamination exceedances</t>
  </si>
  <si>
    <t>Develop a Remediation Action Plan on sites with large footprints and/or hgh complexity based on outcomes of intrusive investigation including strategies to address contamination exceedances</t>
  </si>
  <si>
    <t>Assumes complex site; detailed design drawings required for cover.</t>
  </si>
  <si>
    <t>Removal and disposal of contaminated water from tanks, bunded areas and sumps</t>
  </si>
  <si>
    <t>L</t>
  </si>
  <si>
    <t>Based on waste contractor rate.</t>
  </si>
  <si>
    <t>Source 1: Includes crew and wet vac truck mobilisation. Allows for 20,000l of liquid waste and 20,000l of oily water disposal. No PCB contaminated oils allowed for.
Source 2: Based on PFAS experience</t>
  </si>
  <si>
    <t>Cost for recent sump clean-up from resource activity - requires specialists to treat.</t>
  </si>
  <si>
    <t>3.03-</t>
  </si>
  <si>
    <t>Remove material (carbonaceous / metalliferous spillage or otherwise) from footprint of the process facility (leach pads) / stockpile area (ROM product) / roads and dump in a void on-site (Select Haul Distance from list)</t>
  </si>
  <si>
    <r>
      <t>m</t>
    </r>
    <r>
      <rPr>
        <vertAlign val="superscript"/>
        <sz val="10"/>
        <rFont val="Arial"/>
        <family val="2"/>
      </rPr>
      <t>3</t>
    </r>
  </si>
  <si>
    <t>no previous rate</t>
  </si>
  <si>
    <t>This item includes scraping and removal of the volume of carbonaceous material using dozer, grader etc. to make safe an area and enable the establishment of rehabilitation.</t>
  </si>
  <si>
    <t>3.03a</t>
  </si>
  <si>
    <t>Remove material (carbonaceous / metalliferous spillage or otherwise) from footprint of the process facility (leach pads) / stockpile area (ROM product) / roads and dump in a void on-site (haul distance &lt; 1km)</t>
  </si>
  <si>
    <t>Remove material (carbonaceous / metalliferous spillage or otherwise) from footprint of the process facility (leach pads) / stockpile area (ROM product) / roads and dump in a void on-site (haul distance &lt; =1km) Small fleet</t>
  </si>
  <si>
    <t>Assumes 1 Excavator, 3 Trucks 16 M Grader (50% utilisation) and 1 D10 Dozer</t>
  </si>
  <si>
    <t>3.03b</t>
  </si>
  <si>
    <t>Remove material (carbonaceous / metalliferous spillage or otherwise) from footprint of the process facility (leach pads) / stockpile area (ROM product) / roads and dump in a void on-site (haul distance &gt;1 km but &lt;2 km)</t>
  </si>
  <si>
    <t>Remove material (carbonaceous / metalliferous spillage or otherwise) from footprint of the process facility (leach pads) / stockpile area (ROM product) / roads and dump in a void on-site (haul distance &gt; 1km and &lt;=2 km) Small fleet</t>
  </si>
  <si>
    <t>3.03c</t>
  </si>
  <si>
    <t>Remove material (carbonaceous / metalliferous spillage or otherwise) from footprint of the process facility (leach pads) / stockpile area (ROM product) / roads and dump in a void on-site (haul distance &gt;2 km but &lt;5 km)</t>
  </si>
  <si>
    <t>Remove material (carbonaceous / metalliferous spillage or otherwise) from footprint of the process facility (leach pads) / stockpile area (ROM product) / roads and dump in a void on-site (haul distance &gt; 2 km and &lt;= 5km) Small fleet</t>
  </si>
  <si>
    <t>Assumes 1 Excavator, 7 Trucks 16 M Grader (50% utilisation) and 1 D10 Dozer</t>
  </si>
  <si>
    <t>3.03d</t>
  </si>
  <si>
    <t>Remove material (carbonaceous / metalliferous spillage or otherwise) from footprint of the process facility (leach pads) / stockpile area (ROM product) / roads and dump in a void on-site (haul distance &gt;5 km)</t>
  </si>
  <si>
    <t>Remove material (carbonaceous / metalliferous spillage or otherwise) from footprint of the process facility (leach pads) / stockpile area (ROM product) / roads and dump in a void on-site (haul distance &gt; 5km) Small fleet</t>
  </si>
  <si>
    <t>Assumes 1 Excavator, 9 Trucks 16 M Grader (50% utilisation) and 1 D10 Dozer</t>
  </si>
  <si>
    <t>3.04a</t>
  </si>
  <si>
    <t>Load, cart and dispose of Hazardous classified contaminated material off site to a licensed landfill.  Assumes cartage to a licensed landfill.</t>
  </si>
  <si>
    <t>Load and haul Hazardous classified contaminated material off site to a licensed landfill.</t>
  </si>
  <si>
    <t>t (m3 for compare)</t>
  </si>
  <si>
    <t>assumed 1.5 t/m3 and distance 55 km for comparison</t>
  </si>
  <si>
    <t>Includes load, haul and dump fees to a licensed facility.</t>
  </si>
  <si>
    <t>3.04b</t>
  </si>
  <si>
    <t>Load, cart and disposal of Restricted classified contaminated material off site to a licensed landfill.  Add $50/m3 for cartage from regional areas</t>
  </si>
  <si>
    <t xml:space="preserve">Load and haul Restricted classified contaminated material off site to a licensed landfill. </t>
  </si>
  <si>
    <r>
      <t>Load, cart and disposal of Low Level contaminated material off site to a licensed landfill.  Add $50/m</t>
    </r>
    <r>
      <rPr>
        <vertAlign val="superscript"/>
        <sz val="10"/>
        <rFont val="Arial"/>
        <family val="2"/>
      </rPr>
      <t>3</t>
    </r>
    <r>
      <rPr>
        <sz val="10"/>
        <rFont val="Arial"/>
        <family val="2"/>
      </rPr>
      <t xml:space="preserve"> for cartage to regional landfill</t>
    </r>
  </si>
  <si>
    <t xml:space="preserve">Load and haul Low Level contaminated material off site to a licensed landfill. </t>
  </si>
  <si>
    <t>3.06-</t>
  </si>
  <si>
    <t>Onsite remediation of hydrocarbon contaminated soils manual land farming (Select Volume from List)</t>
  </si>
  <si>
    <t>Spreading of contaminated soils on a prepared surface and stimulation of aerobic microbial activity within the soils through aeration and/or the addition of minerals, nutrients and moisture to promote the aerobic degradation of organic chemicals - time frame of up to 24 months.</t>
  </si>
  <si>
    <t>3.06a</t>
  </si>
  <si>
    <r>
      <t>Onsite remediation of hydrocarbon contaminated soils (&lt;50 m</t>
    </r>
    <r>
      <rPr>
        <vertAlign val="superscript"/>
        <sz val="10"/>
        <rFont val="Arial"/>
        <family val="2"/>
      </rPr>
      <t>3</t>
    </r>
    <r>
      <rPr>
        <sz val="10"/>
        <rFont val="Arial"/>
        <family val="2"/>
      </rPr>
      <t>) - manual land farming</t>
    </r>
  </si>
  <si>
    <t>Replaced with above</t>
  </si>
  <si>
    <t>Overall rate for bio-remediation in the order of $75 - $120 /m3 depending on volume, additives, treatment durations and contamination levels. $45 /m3 for spreading contaminated soils on a prepared surface and stimulation of aerobic microbial activity within the soils through aeration and/or the addition of minerals, nutrients and moisture to promote the aerobic degradation of organic chemicals - time frame of up to 12 months. Assumes additive of bio-remediation enhancers of approx. $25 /m3.
Includes constructing base and bunds.</t>
  </si>
  <si>
    <t>3.06b</t>
  </si>
  <si>
    <r>
      <t>Onsite remediation of hydrocarbon contaminated soils (&gt;50 m</t>
    </r>
    <r>
      <rPr>
        <vertAlign val="superscript"/>
        <sz val="10"/>
        <rFont val="Arial"/>
        <family val="2"/>
      </rPr>
      <t>3</t>
    </r>
    <r>
      <rPr>
        <sz val="10"/>
        <rFont val="Arial"/>
        <family val="2"/>
      </rPr>
      <t xml:space="preserve"> but &lt;100 m</t>
    </r>
    <r>
      <rPr>
        <vertAlign val="superscript"/>
        <sz val="10"/>
        <rFont val="Arial"/>
        <family val="2"/>
      </rPr>
      <t>3</t>
    </r>
    <r>
      <rPr>
        <sz val="10"/>
        <rFont val="Arial"/>
        <family val="2"/>
      </rPr>
      <t>) - manual land farming</t>
    </r>
  </si>
  <si>
    <t>Minimum cost also</t>
  </si>
  <si>
    <t>3.06c</t>
  </si>
  <si>
    <r>
      <t>Onsite remediation of hydrocarbon contaminated soils (&gt;100 m</t>
    </r>
    <r>
      <rPr>
        <vertAlign val="superscript"/>
        <sz val="10"/>
        <rFont val="Arial"/>
        <family val="2"/>
      </rPr>
      <t>3</t>
    </r>
    <r>
      <rPr>
        <sz val="10"/>
        <rFont val="Arial"/>
        <family val="2"/>
      </rPr>
      <t xml:space="preserve"> but &lt;500 m</t>
    </r>
    <r>
      <rPr>
        <vertAlign val="superscript"/>
        <sz val="10"/>
        <rFont val="Arial"/>
        <family val="2"/>
      </rPr>
      <t>3</t>
    </r>
    <r>
      <rPr>
        <sz val="10"/>
        <rFont val="Arial"/>
        <family val="2"/>
      </rPr>
      <t>) - manual land farming</t>
    </r>
  </si>
  <si>
    <t>3.06d</t>
  </si>
  <si>
    <r>
      <t>Onsite remediation of hydrocarbon contaminated soils (&gt;500 m</t>
    </r>
    <r>
      <rPr>
        <vertAlign val="superscript"/>
        <sz val="10"/>
        <rFont val="Arial"/>
        <family val="2"/>
      </rPr>
      <t>3</t>
    </r>
    <r>
      <rPr>
        <sz val="10"/>
        <rFont val="Arial"/>
        <family val="2"/>
      </rPr>
      <t>) - manual land farming</t>
    </r>
  </si>
  <si>
    <t>Mobilisation of cement stabilisation plant and equipment for hydrocarbon (i.e., PAH, long chain hydrocarbons, etc.) contaminated soil treatment</t>
  </si>
  <si>
    <t>Mobilisation of stabilisation equipment for heavy hydrocarbon (i.e., PAH) contaminated soil treatment</t>
  </si>
  <si>
    <t>Required if treatment of hydrocarbon contamination is required to be fast tracked.</t>
  </si>
  <si>
    <t>On-site remediation of hydrocarbon contaminated soils - using a mobile treatment unit</t>
  </si>
  <si>
    <t>Delete, biopile is sufficient</t>
  </si>
  <si>
    <t>Additional cost as the treatment process is fast tracked.</t>
  </si>
  <si>
    <r>
      <t>Remove and dispose of asbestos (&lt;750 m</t>
    </r>
    <r>
      <rPr>
        <vertAlign val="superscript"/>
        <sz val="10"/>
        <rFont val="Arial"/>
        <family val="2"/>
      </rPr>
      <t>2</t>
    </r>
    <r>
      <rPr>
        <sz val="10"/>
        <rFont val="Arial"/>
        <family val="2"/>
      </rPr>
      <t>)</t>
    </r>
  </si>
  <si>
    <t>Load and haul asbestos in soil</t>
  </si>
  <si>
    <t>Assumptions in previous not clear.</t>
  </si>
  <si>
    <t>Where an assessment/estimation has been made to confirm the volume of asbestos to be removed.</t>
  </si>
  <si>
    <r>
      <t>Remove and dispose of asbestos (&gt;750 m</t>
    </r>
    <r>
      <rPr>
        <vertAlign val="superscript"/>
        <sz val="10"/>
        <rFont val="Arial"/>
        <family val="2"/>
      </rPr>
      <t>2</t>
    </r>
    <r>
      <rPr>
        <sz val="10"/>
        <rFont val="Arial"/>
        <family val="2"/>
      </rPr>
      <t>)</t>
    </r>
  </si>
  <si>
    <t>Dispose of abestos in soil</t>
  </si>
  <si>
    <t>Remove and dispose of asbestos - from buildings</t>
  </si>
  <si>
    <t>Remove and dispose of asbestos - pipe</t>
  </si>
  <si>
    <t>Waste disposal to Council landfill - fees (asbestos)</t>
  </si>
  <si>
    <t>Landfill fees to regional landfill.</t>
  </si>
  <si>
    <t>Treatment of known Acid Sulfate Soils</t>
  </si>
  <si>
    <t>Treatment of acid sulphate soil</t>
  </si>
  <si>
    <t>Different treatment</t>
  </si>
  <si>
    <t>Assumes ASS is treatable via neutralisation and does not require capping and isolation. Assumes 1% by weight lime addition and treatment to 100 mm depth only.</t>
  </si>
  <si>
    <t>Removal and disposal of plastic liner (i.e. dam, leach pad, sump etc.)</t>
  </si>
  <si>
    <t>Provisional sum for cutting using ripping tynes and on-site disposal of the liner.</t>
  </si>
  <si>
    <t>3.14-</t>
  </si>
  <si>
    <t>Long haulage brine/salt for disposal (Select Haul Distance from list)</t>
  </si>
  <si>
    <t>Costs for haulage to location for authorised disposal.</t>
  </si>
  <si>
    <t>3.14a</t>
  </si>
  <si>
    <t>Long haulage brine/salt for disposal &gt;10 km but &lt;15 km</t>
  </si>
  <si>
    <t>kL (m3)</t>
  </si>
  <si>
    <t>3.14b</t>
  </si>
  <si>
    <t>Long haulage brine/salt for disposal &gt;15 km but &lt;25 km</t>
  </si>
  <si>
    <t>3.14c</t>
  </si>
  <si>
    <t>Long haulage brine/salt for disposal &gt;25 km but &lt;50 km</t>
  </si>
  <si>
    <t>3.14d</t>
  </si>
  <si>
    <t>Brine disposal to landfill - fees only</t>
  </si>
  <si>
    <t>Dispose brine - gate fee</t>
  </si>
  <si>
    <t>Rate for trackable liquid levy of $78.20 per tonne and authorised disposal to landfill.</t>
  </si>
  <si>
    <t>3.15-</t>
  </si>
  <si>
    <t>Long haulage water (clean or contaminated) (Select Haul Distance from list)</t>
  </si>
  <si>
    <t>Assumes transport in a 20,000 L tanker. Add disposal costs to additional items where warranted.</t>
  </si>
  <si>
    <t>3.15a</t>
  </si>
  <si>
    <t>Long haulage water (clean or contaminated) &gt;10 km but &lt;15 km</t>
  </si>
  <si>
    <t>3.15b</t>
  </si>
  <si>
    <t>Long haulage water (clean or contaminated) &gt;15 km but &lt;25 km</t>
  </si>
  <si>
    <t>3.15c</t>
  </si>
  <si>
    <t>Long haulage water (clean or contaminated) &gt;25 km but &lt;50 km</t>
  </si>
  <si>
    <t>Vents, Shafts and Boreholes</t>
  </si>
  <si>
    <t>4.01a</t>
  </si>
  <si>
    <t>Seal portals / drifts (width &gt;3 m) – only entry seal / plug required with in front of access backfill with engineered fill for 5 m</t>
  </si>
  <si>
    <t>This cost is not applicable to coal operations which require backfilling to MDG6001 or similar due to gases. Costs include engineering and QA/QC.  Costs assume engineered fill backfilled between 2 x 1 m plugs for sealing,  + haul material to backfill per &gt;5 km distance + concrete pump and secondary support.</t>
  </si>
  <si>
    <t>4.01b</t>
  </si>
  <si>
    <t>Seal portals / drifts (width &gt;3 m) accessible to men and machinery requiring a bulkhead – grout backfill against a concrete bulkhead to be constructed</t>
  </si>
  <si>
    <t>Cost includes engineering the bulkhead and underground construction (access available) followed by grout backfill via workings and rehabilitation (reshape, bulk push and full rehabilitation).  Assume tunnel length of 20 m.  For every additional m add $7,250 for grouting. If no bulkhead required, deduct $60,000.</t>
  </si>
  <si>
    <t>4.01c</t>
  </si>
  <si>
    <r>
      <t xml:space="preserve">Seal portals / drifts (width &gt;3 m) </t>
    </r>
    <r>
      <rPr>
        <u/>
        <sz val="10"/>
        <rFont val="Arial"/>
        <family val="2"/>
      </rPr>
      <t>not accessible by men or machinery</t>
    </r>
    <r>
      <rPr>
        <sz val="10"/>
        <rFont val="Arial"/>
        <family val="2"/>
      </rPr>
      <t xml:space="preserve"> – grout backfill against a concrete bulkhead existing or to be constructed</t>
    </r>
  </si>
  <si>
    <t xml:space="preserve">Cost includes engineering the bulkhead if required and construction via access directly above heading followed by grout backfill via boreholes every 10 m to fill voids and rehabilitation (bulk push, final trim, seeding and full rehabilitation).  Assume tunnel length of 20 m.  For every additional m add $8,700 for grouting.
If no bulkhead required, deduct $60,000.
Assumes any existing bulkhead is observable by camera and satisfies regulations and engineer (location, etc.).
</t>
  </si>
  <si>
    <t>4.01d</t>
  </si>
  <si>
    <t>Seal small adits (width ≤3 m) accessible by men and/or machinery or neither requiring a bulkhead –backfill with appropriate material against a concrete bulkhead existing or to be constructed.  The rate includes reshaping and rehabilitation of the batter around the entrance of the adit</t>
  </si>
  <si>
    <t>Costs estimated from executed works  program in NSW from multiple sites.  Rate assumes standard works program with suitable access, and additional roof and rib stabilisation works etc. is not required.</t>
  </si>
  <si>
    <t>4.02a</t>
  </si>
  <si>
    <t>Costs to grout fill tunnel via mine workings to seal and eliminate voids and/or likelihood of failures of ground</t>
  </si>
  <si>
    <t>Workings are accessible to run grout lines via machine or seam dip is favourable i.e. dips inbye</t>
  </si>
  <si>
    <t>4.02b</t>
  </si>
  <si>
    <t>Costs to grout fill tunnel by drilling directly above to seal and eliminate voids and/or likelihood of failures of ground</t>
  </si>
  <si>
    <t>Area directly above heading is accessible by drill rig with depth of cover &lt;30 m and access outbye.  One borehole required every 10m to fill void.</t>
  </si>
  <si>
    <t>4.03a</t>
  </si>
  <si>
    <t>Demolish ventilation fans</t>
  </si>
  <si>
    <t>fan</t>
  </si>
  <si>
    <t>Costs for demolition of ventilation fan prior to sealing shaft.</t>
  </si>
  <si>
    <t>4.03b</t>
  </si>
  <si>
    <t>Rate accounts for a range of factors including variations in depth and size, accessibility limitations, equipment transport to the shaft etc. Assumes engineered fill is available within 10 km round trip and no bulkhead required.  Excludes demolition of ventilation fans.</t>
  </si>
  <si>
    <t>Maintenance and monitoring of sealed adits/portals and shafts (for a total of 5 years)</t>
  </si>
  <si>
    <t>adit</t>
  </si>
  <si>
    <t xml:space="preserve">Assume 1 x day visual inspection (10hrs inc’ travel) for suitably qualified / competent person + reporting, for an annual inspection @ $5,000 per year. Exclusions are intrusive investigation and testing (e.g. concrete strength etc). </t>
  </si>
  <si>
    <t>Rate accounts for a range of factors including establishing clear access, and/or working in remote locations without services, and/or stabilisation works to prevent the entry collapsing and compromising the gate etc.</t>
  </si>
  <si>
    <t>4.06a</t>
  </si>
  <si>
    <r>
      <rPr>
        <b/>
        <sz val="10"/>
        <rFont val="Arial"/>
        <family val="2"/>
      </rPr>
      <t xml:space="preserve">Option 1 - Coal bore hole
</t>
    </r>
    <r>
      <rPr>
        <sz val="10"/>
        <rFont val="Arial"/>
        <family val="2"/>
      </rPr>
      <t>Exploration boreholes – rehabilitate coal boreholes and drill pads as required</t>
    </r>
  </si>
  <si>
    <t>depth (m)</t>
  </si>
  <si>
    <t>bore should hole borew for wate</t>
  </si>
  <si>
    <t>Previous rate too low as includes grouting.</t>
  </si>
  <si>
    <t>Cost to grout and cap an open exploration borehole.  Assume a 20 m x 20 m drill pad requires rehabilitation - push cover of nearby growth media, rip and seed.</t>
  </si>
  <si>
    <t>4.06b</t>
  </si>
  <si>
    <r>
      <rPr>
        <b/>
        <sz val="10"/>
        <rFont val="Arial"/>
        <family val="2"/>
      </rPr>
      <t xml:space="preserve">Option 3 - Mineral RAB and aircore drill holes
</t>
    </r>
    <r>
      <rPr>
        <sz val="10"/>
        <rFont val="Arial"/>
        <family val="2"/>
      </rPr>
      <t>Exploration boreholes – backfill open  Rotary Airblast (RAB) or aircore drill holes with cuttings</t>
    </r>
  </si>
  <si>
    <t>bore</t>
  </si>
  <si>
    <r>
      <rPr>
        <b/>
        <sz val="10"/>
        <rFont val="Arial"/>
        <family val="2"/>
      </rPr>
      <t xml:space="preserve">Option 2 - Mineral drill hole requiring grouting
</t>
    </r>
    <r>
      <rPr>
        <sz val="10"/>
        <rFont val="Arial"/>
        <family val="2"/>
      </rPr>
      <t>Exploration boreholes – grout and cap open bore holes</t>
    </r>
  </si>
  <si>
    <t>Includes grouting and capping 100 - 200 m exploration boreholes to meet the requirements of Departmental Guidelines.</t>
  </si>
  <si>
    <t>Boreholes – cap and seal open bore holes with steel casing (i.e., goaf drainage etc.)</t>
  </si>
  <si>
    <t>Boreholes – cap and seal open bore holes - surface-to-in-seam gas drainage</t>
  </si>
  <si>
    <t>Boreholes – grout (with concrete) cap and seal bore holes (i.e. where sealing aquifers)</t>
  </si>
  <si>
    <r>
      <t xml:space="preserve">Boreholes – cap and seal service boreholes for UG </t>
    </r>
    <r>
      <rPr>
        <u/>
        <sz val="10"/>
        <rFont val="Arial"/>
        <family val="2"/>
      </rPr>
      <t>coal</t>
    </r>
    <r>
      <rPr>
        <sz val="10"/>
        <rFont val="Arial"/>
        <family val="2"/>
      </rPr>
      <t xml:space="preserve"> operations</t>
    </r>
  </si>
  <si>
    <r>
      <rPr>
        <b/>
        <sz val="10"/>
        <rFont val="Arial"/>
        <family val="2"/>
      </rPr>
      <t xml:space="preserve">Option 4 - Mineral diamond drill hole
</t>
    </r>
    <r>
      <rPr>
        <sz val="10"/>
        <rFont val="Arial"/>
        <family val="2"/>
      </rPr>
      <t>Rehabilitation of diamond drill holes and pad including sealing drill holes for mineral exploration</t>
    </r>
  </si>
  <si>
    <t>Bog out cuttings, remove fencing, remove rubbish, push sumps in, rehabilitate pads and tracks, cut and plug collars.  Includes labour and equipment, disposal of rubbish locally on site</t>
  </si>
  <si>
    <r>
      <rPr>
        <b/>
        <sz val="10"/>
        <rFont val="Arial"/>
        <family val="2"/>
      </rPr>
      <t xml:space="preserve">Option 5 - Mineral reverse circulation drill holes
</t>
    </r>
    <r>
      <rPr>
        <sz val="10"/>
        <rFont val="Arial"/>
        <family val="2"/>
      </rPr>
      <t>Rehabilitation of reverse circulation drill holes and pad including sealing drill holes for mineral exploration</t>
    </r>
  </si>
  <si>
    <t>Sealing required, but not complete filling with concrete/grout</t>
  </si>
  <si>
    <r>
      <rPr>
        <b/>
        <sz val="10"/>
        <rFont val="Arial"/>
        <family val="2"/>
      </rPr>
      <t>Option 6 - Rehabilitation of drill hole collars</t>
    </r>
    <r>
      <rPr>
        <sz val="10"/>
        <rFont val="Arial"/>
        <family val="2"/>
      </rPr>
      <t xml:space="preserve">
Rehabilitation of drill hole collars (mineral exploration)</t>
    </r>
  </si>
  <si>
    <t>Cut collar, remove, cap, backfill capped collar and cover with nearby organic or growth material</t>
  </si>
  <si>
    <t>Roads and Tracks</t>
  </si>
  <si>
    <t>Unsealed roads / vehicle park-up areas – minor works including deep rip and trim</t>
  </si>
  <si>
    <t>Unsealed roads / access  tracks / vehicle park-up areas with windrows and/or small earthen bunds – minor earthworks and deep rip and trim</t>
  </si>
  <si>
    <t>Unsealed roads / vehicle park-up areas – Minor earthworks, final trim and deep rip and seed (pasture grass)</t>
  </si>
  <si>
    <t>Unsealed roads / vehicle park-up areas – Minor earthworks, final trim and deep rip, ameliorate and seed (native tree/shrub/grass)</t>
  </si>
  <si>
    <t>Unsealed roads / haul roads / vehicle park-up areas with windrows and/or small earthen bunds – Minor earthworks, final trim and deep rip, ameliorate and seed (pasture grass)</t>
  </si>
  <si>
    <t>Unsealed roads / haul roads / vehicle park-up areas with windrows and/or small earthen bunds – Minor earthworks, final trim and deep rip, ameliorate and seed (native tree/shrub/grass)</t>
  </si>
  <si>
    <t>5.07-</t>
  </si>
  <si>
    <t>Remove stabilised material (blue metal, aggregate etc.) from roadways and disposal on-site/locally (Select Haul Distance from list)</t>
  </si>
  <si>
    <t>This item includes the scraping and removal of the volume of stabilised material from the road, laydown or other surface using an excavator, dozer and grader to enable the establishment of rehabilitation.</t>
  </si>
  <si>
    <t>5.07a</t>
  </si>
  <si>
    <t>Remove stabilised material (blue metal, aggregate etc.) from roadways and disposal on-site/locally (haul distance &lt; 1km)</t>
  </si>
  <si>
    <t>Assumes 1 excavator, 3 trucks, 2 x 16 M grader (50% utilisation) and 1 D10 Dozer @ $400</t>
  </si>
  <si>
    <t>5.07b</t>
  </si>
  <si>
    <t>Remove stabilised material (blue metal, aggregate etc.) from roadways and disposal on-site/locally (haul distance &gt;1 km but &lt;2 km)</t>
  </si>
  <si>
    <t>Assumes 1 excavator, 4 trucks, 2 x 16 M grader (50% utilisation) and 1 D10 Dozer @ $400</t>
  </si>
  <si>
    <t>5.07c</t>
  </si>
  <si>
    <t>Remove stabilised material (blue metal, aggregate etc.) from roadways and disposal on-site/locally (haul distance &gt;2 km but &lt;5 km)</t>
  </si>
  <si>
    <t>Assumes 1 excavator, 6 trucks, 2 x 16 M grader (50% utilisation) and 1 D10 Dozer @ $400</t>
  </si>
  <si>
    <t>5.07d</t>
  </si>
  <si>
    <t>Remove stabilised material (blue metal, aggregate etc.) from roadways and dump in a void on-site (haul distance &gt;5 km)</t>
  </si>
  <si>
    <t>Assumes 1 scrapers 623, 9 trucks 16 M grader (50% utilisation) and 1 D10 Dozer @ $400</t>
  </si>
  <si>
    <t>Open Cut</t>
  </si>
  <si>
    <t>Pits</t>
  </si>
  <si>
    <t>Active pit area – benches blasted and doze to acceptable grade</t>
  </si>
  <si>
    <t>Lm</t>
  </si>
  <si>
    <t>Blasting in a 8x9 pattern of bench height 25 m with D11 push of 50-75 m.</t>
  </si>
  <si>
    <t>Drill &amp; blast faces to make safe</t>
  </si>
  <si>
    <t>Bulk Drilling say 8*9 pattern, assuming a stem height of 6 m, charge length of 19 m, explosive density of 0.9, diameter of 229 mm, explosives at 665.3 kg/hole with a powder factor of 0.37 with an approximate bench height of 25 m.</t>
  </si>
  <si>
    <t>High wall treatment – (trench and safety berm)</t>
  </si>
  <si>
    <t>Divide by 1000 to allow comparison, first principles</t>
  </si>
  <si>
    <t>D10 dozer, 16H Grader and revegetation with pasture grass.</t>
  </si>
  <si>
    <t>Earthworks / Structural Works</t>
  </si>
  <si>
    <t>7.01-</t>
  </si>
  <si>
    <t>Major bulk pushing to achieve grades nominated in the approval/permit – Select Push Length</t>
  </si>
  <si>
    <t>Major bulk pushing to achieve grades nominated in the approval/permit</t>
  </si>
  <si>
    <t>7.01a</t>
  </si>
  <si>
    <t>Major bulk pushing to achieve grades nominated in the approval/permit – 50 m push length</t>
  </si>
  <si>
    <t>Assumes D11 dozer push @ 400 bcm/hr.</t>
  </si>
  <si>
    <t>7.01b</t>
  </si>
  <si>
    <t>Major bulk pushing to achieve grades nominated in the approval/permit – 50 m-75 m push length</t>
  </si>
  <si>
    <t>Assumes D11 dozer push @ 375 bcm/hr.</t>
  </si>
  <si>
    <t>7.01c</t>
  </si>
  <si>
    <t>Major bulk pushing to achieve grades nominated in the approval/permit – 75 m-100 m push length)</t>
  </si>
  <si>
    <t>Assumes D11 dozer push @ 250 bcm/hr.</t>
  </si>
  <si>
    <t>7.01d</t>
  </si>
  <si>
    <t>Major bulk pushing to achieve grades nominated in the approval/permit – 150 m push length)</t>
  </si>
  <si>
    <t>Assumes D11 dozer push @ 175 bcm/hr.</t>
  </si>
  <si>
    <t>Offset to above</t>
  </si>
  <si>
    <t>Earthworks / structural works</t>
  </si>
  <si>
    <t>Active Mining Area (Open Cut Void), Overburden Emplacement Area, Infrastructure Area, Tailings Storage Facilities, Water Management Area</t>
  </si>
  <si>
    <t>Grader rip - 12M</t>
  </si>
  <si>
    <t>Grader rip - 14G</t>
  </si>
  <si>
    <t>Grader rip - 16G</t>
  </si>
  <si>
    <t>Grader trim - 12M</t>
  </si>
  <si>
    <t>Dozer rip - D6</t>
  </si>
  <si>
    <t>Dozer rip - D7</t>
  </si>
  <si>
    <t>Dozer rip - D8</t>
  </si>
  <si>
    <t>Dozer rip - D9</t>
  </si>
  <si>
    <t>Dozer rip - D10</t>
  </si>
  <si>
    <t>Dozer rip - D11</t>
  </si>
  <si>
    <t>Major bulk pushing to achieve grades nominated in the approval/permit – &lt; 20 m</t>
  </si>
  <si>
    <t>Minor reshaping and pushing</t>
  </si>
  <si>
    <t>Included above</t>
  </si>
  <si>
    <t>D10 Dozer @ $400 per hour and 16 H grader @ $230 per hour (50% utilisation).</t>
  </si>
  <si>
    <t>Structural works, banks, waterways - contour banks, drainage channels and other soil conservation measures</t>
  </si>
  <si>
    <t>Combination of dozer and excavator work plus grader for ~4 hours each per ha.</t>
  </si>
  <si>
    <t>Construction of spine drains / drop structures and/or stabilising water course entry points - required for large catchments</t>
  </si>
  <si>
    <t>Installation of on-site rock material (rip-rap) where managing water run-off from disturbed land and/or upon entry to water courses - prevents erosion of gully head (assumes competent material is locally available). If required to be sourced off site, assume an additional $20/m2.</t>
  </si>
  <si>
    <t>Infrastructure Area, Beneficiation Facility</t>
  </si>
  <si>
    <r>
      <t>m</t>
    </r>
    <r>
      <rPr>
        <vertAlign val="superscript"/>
        <sz val="10"/>
        <rFont val="Arial"/>
        <family val="2"/>
      </rPr>
      <t>3</t>
    </r>
    <r>
      <rPr>
        <sz val="11"/>
        <color theme="1"/>
        <rFont val="Calibri"/>
        <family val="2"/>
        <scheme val="minor"/>
      </rPr>
      <t/>
    </r>
  </si>
  <si>
    <t>Active Mining Area (Open Cut Void), Overburden Emplacement Area, Infrastructure Area, Tailings Storage Facilities, Water Management Area, Beneficiation Facility</t>
  </si>
  <si>
    <t>Below</t>
  </si>
  <si>
    <t>Overburden Emplacement Area, Tailings Storage Facilities</t>
  </si>
  <si>
    <t>Mine Waste</t>
  </si>
  <si>
    <t>Very low risk</t>
  </si>
  <si>
    <r>
      <rPr>
        <u/>
        <sz val="11"/>
        <rFont val="Calibri"/>
        <family val="2"/>
        <scheme val="minor"/>
      </rPr>
      <t>Ideal Tailings Capping</t>
    </r>
    <r>
      <rPr>
        <sz val="11"/>
        <rFont val="Calibri"/>
        <family val="2"/>
        <scheme val="minor"/>
      </rPr>
      <t xml:space="preserve"> - reshaping, capping / sealing of trafficable tailings facility with little chemical reactivity (no to low risk Potential Acid Forming (PAF) / Neutral Mine Drainage (NMD) / Saline Mine Drainage (SMD) and/or low to moderate propensity for spontaneous combustion) and good physical properties (not significantly  hydrophilic, shear strength does not limit equipment choice, no artificial strengthening required)</t>
    </r>
  </si>
  <si>
    <t>Low risk</t>
  </si>
  <si>
    <t>This includes sourcing, carting, spreading, moisture conditioning and compaction of a suitable volume material with the appropriate chemical and physical properties. This rate assumes suitable capping material is available on site within 10 km, and an average cap thickness of approximately 0.5 m to 1 mand 0.15 m - 0.2 m growth media (assume at least 1 m thick cover required for carbonaceous material covers). Water quality from runoff, seepage etc. meets site-specific environment water quality values.
If site haulage longer than 10 km round trip add the volume of the relevant material requiring haulage for this distance in 8.05 (spreading costs for tailings cap material included in rate).
If additional material to make up landform, provide buttress or other works aside from tailings cap, use rate from 9.02 for relevant haulage and spreading in additional to any long haulage volume in 8.05.</t>
  </si>
  <si>
    <t>8.01a</t>
  </si>
  <si>
    <t>Additional materials required for reshaping, capping / sealing of structure to facilitate water quality from runoff, seepage etc. meeting site-specific environment water quality values.</t>
  </si>
  <si>
    <t>Include additional cost to import materials (i.e., shale / clay, competent drainage materials etc.) and / or additional requirements (i.e., geofabric / composite lining etc.).</t>
  </si>
  <si>
    <t>8.01b</t>
  </si>
  <si>
    <r>
      <rPr>
        <u/>
        <sz val="11"/>
        <rFont val="Calibri"/>
        <family val="2"/>
        <scheme val="minor"/>
      </rPr>
      <t>Efficient Tailings Capping</t>
    </r>
    <r>
      <rPr>
        <sz val="11"/>
        <rFont val="Calibri"/>
        <family val="2"/>
        <scheme val="minor"/>
      </rPr>
      <t xml:space="preserve"> - reshaping, capping / sealing of trafficable tailings facility with moderate chemical reactivity (low to medium risk Potential Acid Forming (PAF) / Neutral Mine Drainage (NMD) / Saline Mine Drainage (SMD) and/or low to moderate propensity for spontaneous combustion) and moderate physical properties (not significantly  hydrophilic, shear strength limits equipment choice somewhat, no artificial strengthening required)</t>
    </r>
  </si>
  <si>
    <t>Medium risk</t>
  </si>
  <si>
    <t>This item includes sourcing, carting, spreading, moisture conditioning and compaction of a suitable volume of material to cap / cover facilities where the tailings or rejects base is at a strength that enables economically efficient construction methods with small plant. This rate assumes suitable capping material is available on site within 10 km, and an average cap thickness ranging from &gt;1 m to 2 m thickness constructed in 1 m layers + growth media up to 0.2 m depth.
This may require additional materials (such as capillary breaks, geofabric, etc.) - use alternate rate cells below, specific material types (e.g. acid neutralising / consuming materials, competent rock etc.) , and associated activities (i.e., load / haul / place / crush / screen / borrow etc.).
Costs for haulage of specialised/additional materials must be added separately if required.
If site haulage longer than 10 km round trip add the volume of the relevant material requiring haulage for this distance in 8.05 (spreading costs for tailings cap material included in rate).
If additional material to make up landform, provide buttress or other works aside from tailings cap, use rate from 9.02 for relevant haulage and spreading in additional to any long haulage volume in 8.05.</t>
  </si>
  <si>
    <t>8.02a</t>
  </si>
  <si>
    <t>8.02b</t>
  </si>
  <si>
    <r>
      <rPr>
        <u/>
        <sz val="11"/>
        <rFont val="Calibri"/>
        <family val="2"/>
        <scheme val="minor"/>
      </rPr>
      <t>Adverse Tailings Capping</t>
    </r>
    <r>
      <rPr>
        <sz val="11"/>
        <rFont val="Calibri"/>
        <family val="2"/>
        <scheme val="minor"/>
      </rPr>
      <t xml:space="preserve"> - reshaping, capping / sealing of trafficable tailings facility with moderate chemical reactivity (medium to high risk Potential Acid Forming (PAF) / Neutral Mine Drainage (NMD) / Saline Mine Drainage (SMD) and/or moderate to high propensity for spontaneous combustion) and moderate physical properties (not significantly  hydrophilic, shear strength limits equipment choice somewhat, no artificial strengthening required)</t>
    </r>
  </si>
  <si>
    <t>High risk</t>
  </si>
  <si>
    <t>This item includes sourcing, carting, spreading, moisture conditioning and compaction of a suitable volume of material to cap / cover facilities of high geochemical risk, and / or low shear strength that prohibits economically efficient construction methods.  This rate assumes suitable capping material/s are available on site within 10 km, and an average cap thickness of approximately &gt;2 m + growth media up to 0.2 m depth.
This may require additional materials (i.e., capillary breaks, geofabric, etc.), specific material types (e.g. acid neutralising / consuming materials, competent rock etc.), and associated activities (i.e., load / haul / place / crush / screen / borrow etc.).
Costs for haulage of specialised materials must be added separately if required.
If site haulage longer than 10 km round trip add the volume of the relevant material requiring haulage for this distance in 8.05 (spreading costs for tailings cap material included in rate).
If additional material to make up landform, provide buttress or other works aside from tailings cap, use rate from 9.02 for relevant haulage and spreading in additional to any long haulage volume in 8.05.</t>
  </si>
  <si>
    <t>8.03a</t>
  </si>
  <si>
    <t>8.03b</t>
  </si>
  <si>
    <t>Difficult Tailings Capping- reshaping, capping / sealing of weak or soft surfaced tailings facility with poor physical properties (significantly  hydrophilic, low shear strength limits equipment choice greatly, artificial strengthening required) OR visible adverse impacts on legacy sites from chemical reactivity over lengthy exposure prior to rehabilitation</t>
  </si>
  <si>
    <t>Difficult in-pit</t>
  </si>
  <si>
    <t>This option is typically driven by time constraints and/or when tailings properties significantly restrict adequate desiccation, resulting in  a tailings shear strength that is very weak excluding access by conventional small plant.
Small equipment used for rehabilitation.
This excludes any additional material required to form the final landform profile in addition to this cap.
If site haulage longer than 10 km round trip add the volume of the relevant material requiring haulage for this distance in 8.05 (spreading costs for tailings cap material included in rate).
If additional material to make up landform, provide buttress or other works aside from tailings cap, use rate from 9.02 for relevant haulage and spreading in additional to any long haulage volume in 8.05.</t>
  </si>
  <si>
    <t>8.04a</t>
  </si>
  <si>
    <t>8.04b</t>
  </si>
  <si>
    <t>8.05-</t>
  </si>
  <si>
    <t>Long haulage soil / weathered rock / sediment e.g. capping/covers, removal of contamination, etc.  (Select Haul Distance from List)</t>
  </si>
  <si>
    <t>Capping/cover material available within 50 km round trip e.g. waste / overburden dumps, borrow areas, etc.</t>
  </si>
  <si>
    <t>8.05a</t>
  </si>
  <si>
    <t>Long haulage soil / weathered rock / sediment e.g. capping/covers, removal of contamination, etc. &gt;10 km but &lt;15 km</t>
  </si>
  <si>
    <t>Assume haulage required from location to site stockpile or site to off-site disposal area - round trip haulage distance.  Excludes costs for spreading.
If site haulage longer than 10 km round trip add the volume of the relevant material requiring haulage for this distance here (spreading costs included in tailings rates 8.01 to 8.04).
If additional material to make up landform, provide buttress or other works aside from tailings cap, use rate from 9.02 for relevant haulage and spreading.</t>
  </si>
  <si>
    <t>8.05b</t>
  </si>
  <si>
    <t>Long haulage soil / weathered rock / sediment e.g. capping/covers, removal of contamination, etc. &gt;15 km but &lt;25 km</t>
  </si>
  <si>
    <t>8.05c</t>
  </si>
  <si>
    <t>Long haulage soil / weathered rock / sediment e.g. capping/covers, removal of contamination, etc. &gt;25 km but &lt;50 km</t>
  </si>
  <si>
    <t>Rehabilitation</t>
  </si>
  <si>
    <t>9.01-</t>
  </si>
  <si>
    <t>Source, cart and spread growth media (Select Haul Distance from List)</t>
  </si>
  <si>
    <t>If topsoil is not available on-site, then Virgin Excavated Natural Material (VENM) may need to be externally sourced.</t>
  </si>
  <si>
    <t>9.01a</t>
  </si>
  <si>
    <t>Source, cart and spread growth media - haul distance &lt;1 km</t>
  </si>
  <si>
    <t>Undertaken with 623 scraper and 14 M grader.</t>
  </si>
  <si>
    <t>9.01b</t>
  </si>
  <si>
    <t>Source, cart and spread growth media - haul distance &gt;1 km but &lt;2 km</t>
  </si>
  <si>
    <t>Undertaken with scraper and D10 dozer.</t>
  </si>
  <si>
    <t>9.01c</t>
  </si>
  <si>
    <t>Source, cart and spread growth media - haul distance &gt;2 km but &lt;5 km</t>
  </si>
  <si>
    <t>Undertaken with D10 dozer, excavator and trucks.</t>
  </si>
  <si>
    <t>9.01d</t>
  </si>
  <si>
    <t>Source, cart and spread growth media - haul distance &gt;5 km</t>
  </si>
  <si>
    <t>9.02-</t>
  </si>
  <si>
    <t>Fill dams, voids etc. - Source local material, cart and spread to cap or backfill, cap thickness determined by approval / permit (Select Haul Distance from List)</t>
  </si>
  <si>
    <t>This item includes the volume of material requiring backfill using an excavator and scraper to fill the void and enable the establishment of rehabilitation.</t>
  </si>
  <si>
    <t>9.02a</t>
  </si>
  <si>
    <t>Fill dams, voids etc. - Source local material, cart and spread to cap or backfill, cap thickness determined by approval / permit (haul distance &lt;1 km)</t>
  </si>
  <si>
    <t>Undertaken using a 623 scraper and D10 Dozer.</t>
  </si>
  <si>
    <t>9.02b</t>
  </si>
  <si>
    <t>Fill dams, voids etc. - Source local material, cart and spread to cap or backfill, cap thickness determined by approval / permit ( haul distance &gt;1 km but &lt;2 km)</t>
  </si>
  <si>
    <t>Undertaken using 623 scraper and D10 Dozer.</t>
  </si>
  <si>
    <t>9.02c</t>
  </si>
  <si>
    <t>Fill dams, voids etc. - Source local material, cart and spread to cap or backfill,  cap thickness determined by approval / permit ( haul distance &gt;2 km but &lt;5 km)</t>
  </si>
  <si>
    <t>Undertaken using a 45T excavator, truck, grader and D10 Dozer.</t>
  </si>
  <si>
    <t>9.02d</t>
  </si>
  <si>
    <t>Fill dams, voids etc. - Source local material, cart and spread to cap or backfill, cap thickness determined by approval / permit ( haul distance &gt;5 km)</t>
  </si>
  <si>
    <t>Delete</t>
  </si>
  <si>
    <t>Shotcrete application on cuttings and steep slopes</t>
  </si>
  <si>
    <t>This rate is used to rehabilitate steep slopes of weathered rock, roadway cuttings, etc that cannot be cut back and stabilised.</t>
  </si>
  <si>
    <t>All except Sundry</t>
  </si>
  <si>
    <t>Trim, rock rake &amp; deep rip (includes levelling / landscaping and rip in 1 direction)</t>
  </si>
  <si>
    <t>Undertaken using D10 dozer and 16M grader.</t>
  </si>
  <si>
    <t>Deep rip hard stand / lay down areas</t>
  </si>
  <si>
    <t>D10 deep ripping.</t>
  </si>
  <si>
    <t>Planting mature trees (&gt;15 cm)</t>
  </si>
  <si>
    <t>tree</t>
  </si>
  <si>
    <t>4 m centres.</t>
  </si>
  <si>
    <t>Planting tube stock (&lt;15 cm)</t>
  </si>
  <si>
    <t>tube</t>
  </si>
  <si>
    <t>Direct seeding / fertiliser (pasture grass species)</t>
  </si>
  <si>
    <t>Includes treating, weighing, mixing with fertiliser + spreading by tractor or helicopter (aerial seeding).</t>
  </si>
  <si>
    <t>Direct seeding / fertiliser (tree or native grass species)</t>
  </si>
  <si>
    <t>9.10a</t>
  </si>
  <si>
    <t>Hydro-seeding with straw mulching and bitumen tack with native seed</t>
  </si>
  <si>
    <t>Revised categories based on advice from contractors.</t>
  </si>
  <si>
    <t>Process to be used on flat well prepared surfaces under irrigation e.g. sewage treatment irrigation areas.  Ranges from $0.15 - $0.50 depending on size and input variables. Native seed +$1.00</t>
  </si>
  <si>
    <t>9.10b</t>
  </si>
  <si>
    <t>Hydro-seeding with straw mulching and bitumen tack with pasture seed</t>
  </si>
  <si>
    <t>Revised categories based on advice from contractors. First principles and confirmed with contractor benchmark.</t>
  </si>
  <si>
    <t>Benchmark is for hydroseeding with tracer mulch applied at 200 kg/ha and binder at 12 kg/ha.</t>
  </si>
  <si>
    <t>Process to be used on flat well prepared surfaces under irrigation e.g. sewage treatment irrigation areas.  Ranges from $0.15 - $0.50 depending on size and input variables. Pasture seed +$0.10</t>
  </si>
  <si>
    <t>9.10c</t>
  </si>
  <si>
    <t>Hydromulch - base grade or standard for flat areas that can be irrigated by water cart</t>
  </si>
  <si>
    <t>Assumes use on flat areas with a gradient of less than 4:1, and where irrigation from water cart may be possible.  Industry standard application rate of 2500kg/ha.  Product will last short term (less than 3 months) and vegetation is required to grow ASAP for stability.  This cost includes cover crop only, additional seeding required.</t>
  </si>
  <si>
    <t>9.10d</t>
  </si>
  <si>
    <t>Hydromulch - bonded fibre matrix grade for steep areas to stabilise up to 12 months</t>
  </si>
  <si>
    <t>Assumes use on steep areas where stabilisation is required for up to 12 months. Application rate of ~3500kg/ha.  This cost includes cover crop only, additional seeding required.</t>
  </si>
  <si>
    <t>9.10e</t>
  </si>
  <si>
    <t xml:space="preserve">Hydromulch - high performance flexible growth medium grade </t>
  </si>
  <si>
    <t>Assumes use on extreme slopes where stabilisation is required for up to 18 months. Application rate of ~4,000kg/ha minimum.  This cost includes cover crop only, additional seeding required.</t>
  </si>
  <si>
    <t>Single application of fertiliser (pasture)</t>
  </si>
  <si>
    <t>Assumes 250 kg / ha. These rates have fluctuated over the last few years however in light of current conditions (lower fuel prices, reduced demand etc) this is a suitable standard rate.</t>
  </si>
  <si>
    <t>Single application of fertiliser (trees)</t>
  </si>
  <si>
    <t>These rates have fluctuated over the last few years however in light of current conditions (lower fuel prices, reduced demand etc) this is a suitable standard rate.</t>
  </si>
  <si>
    <t>Spoil amelioration (adding lime / gypsum etc.)</t>
  </si>
  <si>
    <t>first principles</t>
  </si>
  <si>
    <t>Assumes 2.5 t / ha as an average application rate.</t>
  </si>
  <si>
    <t>growth media amelioration with biosolids</t>
  </si>
  <si>
    <t>Recent experience with agronomy projects.</t>
  </si>
  <si>
    <t>Security fence around steep section of high wall</t>
  </si>
  <si>
    <t>1800mm x 3 barb chain-link mesh security fence and gate standard 2.5mm mesh &amp; 32 mm post not concreted</t>
  </si>
  <si>
    <r>
      <t xml:space="preserve">Construct </t>
    </r>
    <r>
      <rPr>
        <b/>
        <sz val="10"/>
        <rFont val="Arial"/>
        <family val="2"/>
      </rPr>
      <t>no-climb</t>
    </r>
    <r>
      <rPr>
        <sz val="10"/>
        <rFont val="Arial"/>
        <family val="2"/>
      </rPr>
      <t xml:space="preserve"> stock fence around rehabilitated areas</t>
    </r>
  </si>
  <si>
    <t>Standard rate for no-climb stock fencing.</t>
  </si>
  <si>
    <r>
      <t xml:space="preserve">Construct </t>
    </r>
    <r>
      <rPr>
        <b/>
        <sz val="10"/>
        <rFont val="Arial"/>
        <family val="2"/>
      </rPr>
      <t>standard</t>
    </r>
    <r>
      <rPr>
        <sz val="10"/>
        <rFont val="Arial"/>
        <family val="2"/>
      </rPr>
      <t xml:space="preserve"> stock fence around rehabilitated areas</t>
    </r>
  </si>
  <si>
    <t>Standard rate for standard stock fencing.</t>
  </si>
  <si>
    <t>Purchase and erect warning signs</t>
  </si>
  <si>
    <t xml:space="preserve">Purchase and erect warning signs </t>
  </si>
  <si>
    <t>Compliance with AS 1319-1994 - Safety signs for the occupational environment - installed every 25 m.</t>
  </si>
  <si>
    <t>Rate assumes a default signs per kilometre</t>
  </si>
  <si>
    <t>Supply from external sources virgin excavated natural material (VENM) for growth media.</t>
  </si>
  <si>
    <t xml:space="preserve">50 km travel used for comparison </t>
  </si>
  <si>
    <t>D7 to spread material at $205/hr, Excavator ($220/hr) load Artic Trucks (90c/km) from imported stockpile - allow nominal rate of $70/m3 for imported fill material.</t>
  </si>
  <si>
    <t>Supply from external sources a combination of virgin excavated natural material (VENM) and spoil from large excavation for filing voids and/or capping etc.</t>
  </si>
  <si>
    <t>D10 push into void at $270/hr, Excavator ($220/hr) load Artic Trucks (90c/km) from imported stockpile - allow nominal rate of $60/m3 for imported fill material.</t>
  </si>
  <si>
    <t>Clearing and grubbing of light vegetation growth e.g. regrowth</t>
  </si>
  <si>
    <t>Topsoil stripping</t>
  </si>
  <si>
    <t>Stripping or topsoil at an approximate depth of 0.2 m into stockpiles; load and haul to final rehabilitation location required or respreading where necessary.</t>
  </si>
  <si>
    <t>Growth media supplementation with manure</t>
  </si>
  <si>
    <t>Addition of manure to improve soil quality.</t>
  </si>
  <si>
    <t>9.24a</t>
  </si>
  <si>
    <t>Utilise biotic soil media - organic topsoil alternative</t>
  </si>
  <si>
    <t>Material that can be applied as an alternative to spreading topsoil prior to hydromulching.</t>
  </si>
  <si>
    <t>Water Management</t>
  </si>
  <si>
    <t>On-site treatment of contaminated water due to high salt (includes removal of metals etc, brine disposal and cost of mobile water treatment unit)</t>
  </si>
  <si>
    <t>Rate can fluctuate depending on treatment type however this is a suitable standard rate for current programs at mining operations.</t>
  </si>
  <si>
    <t>On-site treatment of contaminated water due to low pH (incudes removal of metals etc, neutralisation treatments and cost of mobile water treatment unit</t>
  </si>
  <si>
    <t>10.03a</t>
  </si>
  <si>
    <t>Clean water dams to be retained after decommissioning – make safe and minor earthworks</t>
  </si>
  <si>
    <t>Provisional sum for earthworks and revegetation required to rehabilitate dam batters etc suitable for re-use by an alternate land-user - D6 Dozer (or similar) @ ~$200 per hour and pasture grass.</t>
  </si>
  <si>
    <t>10.03b</t>
  </si>
  <si>
    <t>Large clean water dams (i.e. ≥ 2 ha) to be retained after mine closure – make safe and minor earthworks</t>
  </si>
  <si>
    <t>Provisional sum for earthworks and revegetation required to rehabilitate dam batters etc suitable for re-use by an alternate land-user - D6 Dozer (or similar) + pasture grass.</t>
  </si>
  <si>
    <t>Water storage</t>
  </si>
  <si>
    <t>10.04-</t>
  </si>
  <si>
    <t>Remove sediments from the floor of the dam to enable it to be converted into clean water structure (Select Haul Distance from list)</t>
  </si>
  <si>
    <t>This item includes the volume of contaminated sediment requiring removal using an excavator, truck and dozer to clean out the dam.</t>
  </si>
  <si>
    <t>10.04a</t>
  </si>
  <si>
    <t>Remove sediments from the floor of the dam to enable it to be converted into clean water structure (haul distance &lt;1km)</t>
  </si>
  <si>
    <t>Undertaken with excavator, trucks, 16 M grader and D10 Dozer</t>
  </si>
  <si>
    <t>10.04b</t>
  </si>
  <si>
    <t>Remove sediments from the floor of the dam to enable it to be converted into clean water structure (haul distance &gt;1km but &lt;2km)</t>
  </si>
  <si>
    <t>10.04c</t>
  </si>
  <si>
    <t>Remove sediments from the floor of the dam to enable it to be converted into clean water structure (haul distance &gt;2km but &lt;5km)</t>
  </si>
  <si>
    <t>10.04d</t>
  </si>
  <si>
    <t>Remove sediments from the floor of the dam to enable it to be converted into clean water structure (haul distance &gt;5km)</t>
  </si>
  <si>
    <t>Removal of evaporation fans and/or other water transfer and management infrastructure</t>
  </si>
  <si>
    <t>Provisional sum for removal of water management infrastructure.</t>
  </si>
  <si>
    <t>Exploration sump decommissioning</t>
  </si>
  <si>
    <t>Mix bury cover</t>
  </si>
  <si>
    <t>Use of a tractor or bob cat with labour. This could be completed in a few hours. Assumes 3 m x 3 m x 1 m sump.  Assumes backfill material available within 2 km round trip.</t>
  </si>
  <si>
    <t>Water / mud disposal from sump</t>
  </si>
  <si>
    <t>Disposal of non-contaminated sediments removed from sump.</t>
  </si>
  <si>
    <t>Assumes material is suitable for revegetating and has a reasonable chance of stabilising.</t>
  </si>
  <si>
    <t>Long term maintenance of water course diversion – Channel constructed through backfilled material</t>
  </si>
  <si>
    <t>Assumes maintenance has been kept up and significant works are not required.</t>
  </si>
  <si>
    <t>Long term maintenance of water course diversion – Channel constructed through competent material</t>
  </si>
  <si>
    <t>Installation of rock armouring</t>
  </si>
  <si>
    <t>Assumes competent material is locally available - multiply costs by 2 for sourcing and transporting from offsite location.</t>
  </si>
  <si>
    <t>Maintenance of Rehabilitated Areas</t>
  </si>
  <si>
    <r>
      <t xml:space="preserve">Maintenance of areas that have been shaped and seeded and </t>
    </r>
    <r>
      <rPr>
        <b/>
        <sz val="10"/>
        <rFont val="Arial"/>
        <family val="2"/>
      </rPr>
      <t>revegetation has been 'successful'</t>
    </r>
  </si>
  <si>
    <t>Rehabilitation maintenance might include re-seeding, watering, fertilising, minor re-shaping, erosion control, inspections/audits - does not include major repair works.</t>
  </si>
  <si>
    <t>Pest management on buffer lands, non-disturbed, and rehabilitated areas</t>
  </si>
  <si>
    <t>Feral animal baiting programs if required  and waste materials required to be removed.</t>
  </si>
  <si>
    <t>Land management of undisturbed areas (rehabilitation, weeds, ferals, erosion and sediment control works)</t>
  </si>
  <si>
    <t>Undisturbed areas within the lease boundary that require land management activities.</t>
  </si>
  <si>
    <t>12.04a</t>
  </si>
  <si>
    <t xml:space="preserve">Minor stabilisation works and maintenance of mine subsidence areas - ripping etc. </t>
  </si>
  <si>
    <t>Undertaken using Dozer.  Costs subject to the extent of subsidence impacts</t>
  </si>
  <si>
    <t>12.04b</t>
  </si>
  <si>
    <t>Crack filling to repair subsidence impacts</t>
  </si>
  <si>
    <t>Undertake more substantial works to backfill cracks and/or sink holes (e.g., filling with mulch prior to grouting, grouting, etc.)  Costs subject to the extent of subsidence impacts. 
Include &gt;5 km haul of fill.</t>
  </si>
  <si>
    <t>12.05a</t>
  </si>
  <si>
    <t>Water course restoration to repair subsidence impacts</t>
  </si>
  <si>
    <t>Undertake more substantial works to remediate water courses (e.g., channel bed repairs, rock bar repairs, swamp stabilisation etc.)</t>
  </si>
  <si>
    <t>12.05b</t>
  </si>
  <si>
    <t>Includes all earthworks and revegetation required to re-establish the natural drainage profile of the subsided area.</t>
  </si>
  <si>
    <t>Areas requiring minor repair - rills, minor growth media replacement.</t>
  </si>
  <si>
    <t>Areas requiring moderate repair - rills, significant growth media replacement.</t>
  </si>
  <si>
    <t>Areas requiring major repair - rills, gullies, growth media replacement, some level of additional surface water management.</t>
  </si>
  <si>
    <t>Areas that require extensive rehabilitation repair - re-design and re-construction of landform.</t>
  </si>
  <si>
    <t>Heritage Items</t>
  </si>
  <si>
    <t>Sundry</t>
  </si>
  <si>
    <t>The restoration and care and maintenance of items that have heritage significance</t>
  </si>
  <si>
    <t>Item for the redistribution of Aboriginal artefacts, preservation of European heritage items or a combination of activities.</t>
  </si>
  <si>
    <t>Heritage report</t>
  </si>
  <si>
    <t>none</t>
  </si>
  <si>
    <t>Sundry Items</t>
  </si>
  <si>
    <t>14.01-</t>
  </si>
  <si>
    <t>Development of an 'Unplanned' Project Closure Plan - for either State Significant or Non State Significant Developments</t>
  </si>
  <si>
    <t>Provisional sum to be used to refine the conceptual closure plan into a detailed closure plan with execution strategies for rehabilitation activities.</t>
  </si>
  <si>
    <t>14.01a</t>
  </si>
  <si>
    <r>
      <t xml:space="preserve">Development of an 'Unplanned' Project Closure Plan - State Significant Development with </t>
    </r>
    <r>
      <rPr>
        <u/>
        <sz val="10"/>
        <rFont val="Arial"/>
        <family val="2"/>
      </rPr>
      <t xml:space="preserve">closure planning well progressed </t>
    </r>
    <r>
      <rPr>
        <sz val="10"/>
        <rFont val="Arial"/>
        <family val="2"/>
      </rPr>
      <t>i.e. preferred cover design, closure environment modelled e.g. groundwater /subsidence / pit lakes, preliminary seal designs, etc. and only finalisation of detailed engineering deigns required</t>
    </r>
  </si>
  <si>
    <t>Provisional sum to be used to refine the conceptual closure plan into a detailed closure plan with execution strategies for rehabilitation activities.
Assumes outcomes of studies readily available including modelling, landform design, geochemistry, demolition, etc.  Costs to finalise options by domain and finalise designs for construction.
Assume a simple site e.g. single open cut, no legacy operations historic in the area, little social dependence, etc.
Depending on site size, complexity, final land use requirements and knowledge base investigations can range from ~$75k to &gt;$1 M.
Sites with more than 1 pit to add $50,000 to rate.</t>
  </si>
  <si>
    <t>14.01b</t>
  </si>
  <si>
    <r>
      <t xml:space="preserve">Development of an 'Unplanned' Project Closure Plan - Non State Significant Development with at least ≥2 of the following aspects requiring closure planning, but </t>
    </r>
    <r>
      <rPr>
        <u/>
        <sz val="10"/>
        <rFont val="Arial"/>
        <family val="2"/>
      </rPr>
      <t>no significant issues realised at this time</t>
    </r>
    <r>
      <rPr>
        <sz val="10"/>
        <rFont val="Arial"/>
        <family val="2"/>
      </rPr>
      <t>: previous subsidence, medium or higher geochemistry risk and/or spontaneous combustion propensity, known/ likely contamination, tailings / rejects, final void</t>
    </r>
  </si>
  <si>
    <t>Provisional sum to be used to refine the conceptual closure plan into a detailed closure plan with execution strategies for rehabilitation activities.
Estimated cost for developing closure plan including studies - basic to satisfy risks and decisions - includes risk assessment, options analysis, Closure Plan.
Sites with more than 1 pit to add $50,000 to rate.</t>
  </si>
  <si>
    <t>14.01c</t>
  </si>
  <si>
    <t>Development of an 'Unplanned' Project Closure Plan - Non State Significant Development with no EPL and/or only one of the following relevant aspects: previous subsidence, low to medium geochemistry risk and/or spontaneous combustion propensity, known limited contamination, small approved final void</t>
  </si>
  <si>
    <t>Assumes sediment control is the key concern for rehabilitation e.g. small mines, exploration operations.  Includes risk assessment, sampling and analyses on &lt;5 samples, one study and Closure Plan.</t>
  </si>
  <si>
    <t>14.01d</t>
  </si>
  <si>
    <t>Development of an 'Unplanned' Project Closure Plan - State Significant Development with only preliminary to conceptual closure planning in place</t>
  </si>
  <si>
    <t>Includes costs for key investigations and studies including designs e.g. geochemistry, Contamination Remediation Action Plan, subsidence risk, cover/capping and final landform, site wide surface water, etc.  Provisional sum to be used to refine the conceptual closure plan into a detailed closure plan with execution strategies for rehabilitation activities.
Assume at least 15 types of studies required ranging from geotechnical to ecology and social, development of a closure plan including address of obligations.  Assume a simple site e.g. single open cut, no legacy operations historic in the area, little social dependence, etc.
Depending on site size, complexity, final land use requirements and knowledge base investigations can range to &gt;$3 M.
Sites with more than 1 pit to add $50,000 to rate.</t>
  </si>
  <si>
    <t>14.01e</t>
  </si>
  <si>
    <r>
      <t xml:space="preserve">Development of an 'Unplanned' Project Closure Plan - Non State Significant Development with at least ≥2 of the following aspects resulting in </t>
    </r>
    <r>
      <rPr>
        <u/>
        <sz val="10"/>
        <rFont val="Arial"/>
        <family val="2"/>
      </rPr>
      <t>significant issues requiring remediation</t>
    </r>
    <r>
      <rPr>
        <sz val="10"/>
        <rFont val="Arial"/>
        <family val="2"/>
      </rPr>
      <t>: previous subsidence, medium or higher geochemistry risk and/or spontaneous combustion propensity, known/ likely contamination, tailings / rejects, final void</t>
    </r>
  </si>
  <si>
    <t>Includes costs for key investigations and studies including economic treatments and designs e.g. geochemistry, Contamination Remediation Action Plan, subsidence risk, cover/capping and final landform, site wide surface water, etc.  Provisional sum to be used to refine the conceptual closure plan into a detailed closure plan with execution strategies for rehabilitation activities.</t>
  </si>
  <si>
    <t>14.01f</t>
  </si>
  <si>
    <t>Develop a Review of Environmental Factors (REF) to facilitate rehabilitation including contamination works.</t>
  </si>
  <si>
    <t>Based on experience for a REF after completion of a detailed closure study (e.g. contamination investigation) costs could range from $10,000 to $100,000 ex GST.  Note this does not apply to a Statement of Environmental Effects or Environmental Impact Statement.</t>
  </si>
  <si>
    <t>Site security during closure</t>
  </si>
  <si>
    <t>yr.</t>
  </si>
  <si>
    <t>First principles</t>
  </si>
  <si>
    <t>Provisional sum for site security measures required during closure.  This includes nightly patrols and first response in the event of an out of hours incident.</t>
  </si>
  <si>
    <t>14.03-</t>
  </si>
  <si>
    <t>Choose type of HAZMAT Clean-up required - cleaning and decontaminating plant and equipment, chemical storage locations, oil and grease traps, tanks, vessels, and pipe work etc</t>
  </si>
  <si>
    <t>Type of HAZMAT Clean-up required - cleaning and decontaminating plant and equipment, chemical storage locations, oil and grease traps, tanks, vessels, and pipe work etc</t>
  </si>
  <si>
    <t>14.03a</t>
  </si>
  <si>
    <t>Small HAZMAT Clean-up - cleaning and decontaminating plant and equipment, chemical storage locations, oil and grease traps, tanks, vessels, and pipe work etc</t>
  </si>
  <si>
    <t>Highly variable cost dependent on specifics of project. The source rate includes mobe which is separate in the RCE rates. Rate is selected between the inflated rate and Source 1 rate.</t>
  </si>
  <si>
    <t>Source 1: Includes full mobilisation of machinery and staff. Allows for 1,000l of liquid waste disposal, 1,000l of oily water disposal, 100t of Cat A soil disposal over 1 week. No PCB contaminated oil allowed for.</t>
  </si>
  <si>
    <t>Provisional sum to perform the site clean-up on a small site (e.g. one mine infrastructure area and ≤2 pit top or laydown/storage areas) ensuring the demolition program is not interrupted due to potential contamination of waste streams.</t>
  </si>
  <si>
    <t>14.03b</t>
  </si>
  <si>
    <t>Medium HAZMAT Clean-up - cleaning and decontaminating plant and equipment, chemical storage locations, oil and grease traps, tanks, vessels, and pipe work etc</t>
  </si>
  <si>
    <t>Highly variable cost dependent on specifics of project. The source rate includes mobe which is separate in the RCE rates. Source rate is much higher than inflated rate and considering variability in specific scope and inclusion of mobe in Source 1 rate, the rate is determined to be 10% over the escalated rate.</t>
  </si>
  <si>
    <t>Source 1: Includes full mobilisation of machinery and staff. Allows for 5,000l of liquid waste disposal, 5,000l of oily water disposal, 1,000t of Cat A soil disposal over 3 weeks. No PCB contaminated oil allowed for.</t>
  </si>
  <si>
    <t>Very labour intensive and previous experience in similar mine sites suggest this is a better more realistic rate to use for medium size contam clean-ups  (e.g. two mine infrastructure areas and &gt;2 but ≤5 pit top or laydown/storage and plant areas).</t>
  </si>
  <si>
    <t>14.03c</t>
  </si>
  <si>
    <t>Large HAZMAT Clean-up - cleaning and decontaminating plant and equipment, chemical storage locations, oil and grease traps, tanks, vessels, and pipe work etc</t>
  </si>
  <si>
    <t>Source 1: includes full mobilisation of machinery and staff. Allows for 20,000l of liquid waste disposal, 20,000l of oily water disposal, 5,000t of Cat A soil disposal over 6 weeks. No PCB contaminated oil allowed for.</t>
  </si>
  <si>
    <t>Very labour intensive and previous experience in similar mine sites suggest this is a better more realistic rate to use for larger size contam clean-ups.</t>
  </si>
  <si>
    <t>Removal and disposal of radiation devices</t>
  </si>
  <si>
    <t>Selected escalated 2021 rate.</t>
  </si>
  <si>
    <t>Provisional sum for removal and disposal of monitoring devices on conveyors using a radiation source (i.e., Americium – 241, Plutonium – 238, Caesium - 137 etc).
Source Isotope type, quantity, strength, weight, source holder type, source holder weight, pick-up location (among others) will directly affect pricing. </t>
  </si>
  <si>
    <t>Additional fees for accessing State, Crown or other public lands for rehabilitation/remediation activities</t>
  </si>
  <si>
    <t>Provisional sum.</t>
  </si>
  <si>
    <t>Third Party Project Management and Contingencies</t>
  </si>
  <si>
    <t>Mobilisation &amp; Demobilisation for exploration programs</t>
  </si>
  <si>
    <t>Calculated rate based on mining engineer experience.</t>
  </si>
  <si>
    <t>Assumes an exploration program of 10 or fewer holes and local contractors within 250 km are available to undertake rehabilitation of disturbance generated by dedicated exploration companies. Apply once per exploration pad.</t>
  </si>
  <si>
    <t>15.00a</t>
  </si>
  <si>
    <t>Mobilisation &amp; Demobilisation for small mine or quarry  - small fleet</t>
  </si>
  <si>
    <t>May include specialist demolition equipment and/or suitable plant to execute bulk earthworks as required.</t>
  </si>
  <si>
    <t>15.00b</t>
  </si>
  <si>
    <t>Mobilisation &amp; Demobilisation for small mine or quarry  - medium to large fleet</t>
  </si>
  <si>
    <t>Mobilisation &amp; Demobilisation for small mine or quarry  - medium fleet</t>
  </si>
  <si>
    <t>15.00c</t>
  </si>
  <si>
    <t>Mobilisation &amp; Demobilisation for small mine or quarry  - large fleet</t>
  </si>
  <si>
    <t>Mobilisation &amp; Demobilisation (Distance to site &lt;150 km)</t>
  </si>
  <si>
    <t>Mobilisation &amp; Demobilisation (Distance to site &lt;=150 km) - Small Fleet</t>
  </si>
  <si>
    <t>Program</t>
  </si>
  <si>
    <t>Mobilisation &amp; Demobilisation (Distance to site &gt;150 km but &lt;500 km)</t>
  </si>
  <si>
    <t>Mobilisation &amp; Demobilisation (Distance to site &gt;150 km but &lt;=500 km) - small fleet</t>
  </si>
  <si>
    <t>Mobilisation &amp; Demobilisation (Distance to site &gt;500 km but &lt;1000 km)</t>
  </si>
  <si>
    <t>Mobilisation &amp; Demobilisation (Distance to site &gt;500 km but &lt;=1000 km) - small fleet</t>
  </si>
  <si>
    <t>Mobilisation &amp; Demobilisation (Distance to site &gt;1000 km)</t>
  </si>
  <si>
    <t>Mobilisation &amp; Demobilisation (Distance to site &gt;1000 km) - small fleet</t>
  </si>
  <si>
    <t>Mobilisation &amp; Demobilisation (Distance to site &lt;=150 km) - medium Fleet</t>
  </si>
  <si>
    <t>Mobilisation &amp; Demobilisation (Distance to site &gt;150 km but &lt;=500 km) - medium fleet</t>
  </si>
  <si>
    <t>Mobilisation &amp; Demobilisation (Distance to site &gt;500 km but &lt;=1000 km) - medium fleet</t>
  </si>
  <si>
    <t>Mobilisation &amp; Demobilisation (Distance to site &gt;1000 km) - medium fleet</t>
  </si>
  <si>
    <t>Mobilisation &amp; Demobilisation (Distance to site &lt;=150 km) - large Fleet</t>
  </si>
  <si>
    <t>Mobilisation &amp; Demobilisation (Distance to site &gt;150 km but &lt;=500 km) - large fleet</t>
  </si>
  <si>
    <t>Mobilisation &amp; Demobilisation (Distance to site &gt;500 km but &lt;=1000 km) - large fleet</t>
  </si>
  <si>
    <t>Mobilisation &amp; Demobilisation (Distance to site &gt;1000 km) - large fleet</t>
  </si>
  <si>
    <t>Mobilisation &amp; Demobilisation (Distance to site &lt;=150 km) - Truck and Shovel Fleet</t>
  </si>
  <si>
    <t>Mobilisation &amp; Demobilisation (Distance to site &gt;150 km but &lt;=500 km) - Truck and Shovel Fleet</t>
  </si>
  <si>
    <t>Mobilisation &amp; Demobilisation (Distance to site &gt;500 km but &lt;=1000 km) - Truck and Shovel Fleet</t>
  </si>
  <si>
    <t>Mobilisation &amp; Demobilisation (Distance to site &gt;1000 km) - Truck and Shovel Fleet</t>
  </si>
  <si>
    <t>Allowances for project management, surveying, closure environmental monitoring, and  contingency</t>
  </si>
  <si>
    <t>A contingent amount to account for "unkown unknowns" and areas were data / details of rehabilitation methods are uncertain.</t>
  </si>
  <si>
    <t>Post Closure Environmental Monitoring</t>
  </si>
  <si>
    <t xml:space="preserve">Includes all monitoring post closure execution works and compilation of all monitoring and maintenance data into a final rehabilitation report and submission for regalatory sign-off. </t>
  </si>
  <si>
    <t>Project Management and Surveying</t>
  </si>
  <si>
    <t>Includes all costs for project management of the closure execution works and post closure management requirements until land and/or tenure relinquishment.</t>
  </si>
  <si>
    <t>User Notes</t>
  </si>
  <si>
    <t>Who / Entity</t>
  </si>
  <si>
    <t>Sheet or reference</t>
  </si>
  <si>
    <t>Note</t>
  </si>
  <si>
    <t>This sheet is a functional sheet only, Users do not need to use it.</t>
  </si>
  <si>
    <t>Specific Names</t>
  </si>
  <si>
    <t>Area measure</t>
  </si>
  <si>
    <t>Rectangle</t>
  </si>
  <si>
    <t>Circle</t>
  </si>
  <si>
    <t>Oval</t>
  </si>
  <si>
    <t>Portable</t>
  </si>
  <si>
    <t>Light Industrial</t>
  </si>
  <si>
    <t>Industrial</t>
  </si>
  <si>
    <t>CHPP / process building</t>
  </si>
  <si>
    <t>Washery, crusher, mills</t>
  </si>
  <si>
    <t>Control room (small)</t>
  </si>
  <si>
    <t>Switchroom</t>
  </si>
  <si>
    <t>Bores Holes and Sumps</t>
  </si>
  <si>
    <t>Water Supply / Monitoring bore hole plugging</t>
  </si>
  <si>
    <t>Exploration bore hole plugging</t>
  </si>
  <si>
    <t>Water supply bore hole backfilling with cuttings</t>
  </si>
  <si>
    <t>Monitoring bore hole backfilling with cuttings</t>
  </si>
  <si>
    <t>Exploration bore hole backfilling with cuttings</t>
  </si>
  <si>
    <t>Water supply bore hole grouting</t>
  </si>
  <si>
    <t>Monitoring bore hole grouting</t>
  </si>
  <si>
    <t>Water reinjection bore hole grouting</t>
  </si>
  <si>
    <t>Exploration bore hole grouting (coal / mineral sands / large impact drilling)</t>
  </si>
  <si>
    <t>Exploration bore hole grouting (metalliferous / low impact drilling)</t>
  </si>
  <si>
    <t>Exploration sumps</t>
  </si>
  <si>
    <t>Gas and goaf drainage bore hole grout and cap</t>
  </si>
  <si>
    <t>Exploration disturbance Includes costeans, sumps and general disturbance</t>
  </si>
  <si>
    <t>Clay</t>
  </si>
  <si>
    <t>Clay Capping Source</t>
  </si>
  <si>
    <t>Capping Risk Level</t>
  </si>
  <si>
    <t>Cladding</t>
  </si>
  <si>
    <t>No cladding</t>
  </si>
  <si>
    <t>Aluminium cladding</t>
  </si>
  <si>
    <t>Containers</t>
  </si>
  <si>
    <t>Steel</t>
  </si>
  <si>
    <t>Brick</t>
  </si>
  <si>
    <t>Concrete</t>
  </si>
  <si>
    <t>Petroleum hydrocarbons</t>
  </si>
  <si>
    <t>Dam Type</t>
  </si>
  <si>
    <t>Dam process</t>
  </si>
  <si>
    <t>Dam evaporation</t>
  </si>
  <si>
    <t>Clean water</t>
  </si>
  <si>
    <t>Dam Size</t>
  </si>
  <si>
    <t>0 to &lt;=1 ML</t>
  </si>
  <si>
    <t>&gt;1 to &lt;=3.5 ML</t>
  </si>
  <si>
    <t>&gt;3.5 to &lt;=7.5 ML</t>
  </si>
  <si>
    <t>&gt;7.5 to &lt;= 10 ML</t>
  </si>
  <si>
    <t>&gt;10 to &lt;=20 ML</t>
  </si>
  <si>
    <t>&gt; 20 to &lt;=50 ML</t>
  </si>
  <si>
    <t>&gt;50 to &lt;=100 ML</t>
  </si>
  <si>
    <t>&gt;100 to &lt;=500 ML</t>
  </si>
  <si>
    <t>&gt;500 to &lt;=1000 ML</t>
  </si>
  <si>
    <t>Dewatering</t>
  </si>
  <si>
    <t>No dewatering</t>
  </si>
  <si>
    <t>Depth below water &lt;=2 m</t>
  </si>
  <si>
    <t>Depth below water &gt;2 m and &lt;=4m</t>
  </si>
  <si>
    <t>Depth below water &gt;4 m</t>
  </si>
  <si>
    <t>Dimension Measure</t>
  </si>
  <si>
    <t>Dozer Push Length</t>
  </si>
  <si>
    <t>Exploration Easements</t>
  </si>
  <si>
    <t>Seismic</t>
  </si>
  <si>
    <t>Truck/shovel</t>
  </si>
  <si>
    <t>Haul Road</t>
  </si>
  <si>
    <t>Road</t>
  </si>
  <si>
    <t>Access Track</t>
  </si>
  <si>
    <t>&lt;=200 m</t>
  </si>
  <si>
    <t>&gt;200 m to &lt;=500 m</t>
  </si>
  <si>
    <t>&gt;500 m to &lt;=1000 m</t>
  </si>
  <si>
    <t>&gt;1000 m to &lt;=1500 m</t>
  </si>
  <si>
    <t>&gt;1500 m to &lt;=2000 m</t>
  </si>
  <si>
    <t>&gt;2000 m to &lt;=2500 m</t>
  </si>
  <si>
    <t>&gt;2500 m to &lt;=3000 m</t>
  </si>
  <si>
    <t>&gt;3000 m to &lt;=4000 m</t>
  </si>
  <si>
    <t>&gt;4000 m to &lt;=5000 m</t>
  </si>
  <si>
    <t>&gt;5000 m to &lt;=6000 m</t>
  </si>
  <si>
    <t>&gt; 6000 m</t>
  </si>
  <si>
    <t>Loading Facilities</t>
  </si>
  <si>
    <t>Long Haul Distance Ranges</t>
  </si>
  <si>
    <t>Material</t>
  </si>
  <si>
    <t>Mobe</t>
  </si>
  <si>
    <t>Overburden Structure</t>
  </si>
  <si>
    <t>Waste rock dump</t>
  </si>
  <si>
    <t>Overburden dump / spol pile</t>
  </si>
  <si>
    <t>Top solil stockpile</t>
  </si>
  <si>
    <t>Overpass - small road or rail</t>
  </si>
  <si>
    <t>Overpass - medium road or rail</t>
  </si>
  <si>
    <t>Overpass - large road or rail</t>
  </si>
  <si>
    <t>Pipeline Type</t>
  </si>
  <si>
    <t>Buried</t>
  </si>
  <si>
    <t>Above ground</t>
  </si>
  <si>
    <t>Pipeline Material</t>
  </si>
  <si>
    <t>Plastic</t>
  </si>
  <si>
    <t>Pipeline Treatment</t>
  </si>
  <si>
    <t>Leave in place</t>
  </si>
  <si>
    <t>Remove</t>
  </si>
  <si>
    <t>Pits and other backfill</t>
  </si>
  <si>
    <t>Safety bund construction method</t>
  </si>
  <si>
    <t>Seed / Plant Method</t>
  </si>
  <si>
    <t>Handcast</t>
  </si>
  <si>
    <t>Dozer applied</t>
  </si>
  <si>
    <t>Plant</t>
  </si>
  <si>
    <t>Spray</t>
  </si>
  <si>
    <t>Shoring</t>
  </si>
  <si>
    <t>No shoring</t>
  </si>
  <si>
    <t>Sheetpiling to 4 m unconsolidated</t>
  </si>
  <si>
    <t>Sheetpiling to 4 m consolidated</t>
  </si>
  <si>
    <t>Sheetpiling to 12 m unconsolidated</t>
  </si>
  <si>
    <t>Sheetpiling to 12 m consolidated</t>
  </si>
  <si>
    <t>Coffer dams</t>
  </si>
  <si>
    <t>Shoring boxes 4 m long</t>
  </si>
  <si>
    <t>Slope</t>
  </si>
  <si>
    <t>0 degrees</t>
  </si>
  <si>
    <t>&lt;=2.8 degrees</t>
  </si>
  <si>
    <t>&gt;2.8&lt;=5.7 degrees</t>
  </si>
  <si>
    <t>&gt;5.7&lt;=8.5 degrees</t>
  </si>
  <si>
    <t>&gt;8.5&lt;=14 degrees</t>
  </si>
  <si>
    <t>&gt;14&lt;=17.5 degrees</t>
  </si>
  <si>
    <t>&gt;17.5 degrees</t>
  </si>
  <si>
    <t>Surface Cover</t>
  </si>
  <si>
    <t>Tank Type</t>
  </si>
  <si>
    <t>Vertical tank</t>
  </si>
  <si>
    <t>Horizontal tank</t>
  </si>
  <si>
    <t>Hor frac</t>
  </si>
  <si>
    <t>Concrete Ring</t>
  </si>
  <si>
    <t>Panel tank</t>
  </si>
  <si>
    <t>Hopper</t>
  </si>
  <si>
    <t>Rail loading bin</t>
  </si>
  <si>
    <t>Thickening</t>
  </si>
  <si>
    <t>Galvanised - small</t>
  </si>
  <si>
    <t>Rainwater</t>
  </si>
  <si>
    <t>Tank Wall</t>
  </si>
  <si>
    <t>Steel wall</t>
  </si>
  <si>
    <t>Concrete wall</t>
  </si>
  <si>
    <t>Plastic wall</t>
  </si>
  <si>
    <t>Tank Roof</t>
  </si>
  <si>
    <t>Open top</t>
  </si>
  <si>
    <t>Steel roof</t>
  </si>
  <si>
    <t>Concrete roof</t>
  </si>
  <si>
    <t>Tank Base</t>
  </si>
  <si>
    <t>Earth base</t>
  </si>
  <si>
    <t>Skid base</t>
  </si>
  <si>
    <t>Steel floor</t>
  </si>
  <si>
    <t>Concrete base</t>
  </si>
  <si>
    <t>Plastic base</t>
  </si>
  <si>
    <t>Tank and dam liner</t>
  </si>
  <si>
    <t>Unlined</t>
  </si>
  <si>
    <t>Tank Containment</t>
  </si>
  <si>
    <t>Single skin</t>
  </si>
  <si>
    <t>Double skin</t>
  </si>
  <si>
    <t>No vegetation</t>
  </si>
  <si>
    <t>Earth compacted</t>
  </si>
  <si>
    <t>Grass</t>
  </si>
  <si>
    <t>Trees</t>
  </si>
  <si>
    <t>Qty name</t>
  </si>
  <si>
    <t>Waste Levy</t>
  </si>
  <si>
    <t>No levy (outside zones)</t>
  </si>
  <si>
    <t>Filter</t>
  </si>
  <si>
    <t>Hide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</si>
</sst>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7" formatCode="&quot;$&quot;#,##0.00;\-&quot;$&quot;#,##0.00"/>
    <numFmt numFmtId="44" formatCode="_-&quot;$&quot;* #,##0.00_-;\-&quot;$&quot;* #,##0.00_-;_-&quot;$&quot;* &quot;-&quot;??_-;_-@_-"/>
    <numFmt numFmtId="164" formatCode="_(&quot;$&quot;* #,##0.00_);_(&quot;$&quot;* \(#,##0.00\);_(&quot;$&quot;* &quot;-&quot;??_);_(@_)"/>
    <numFmt numFmtId="165" formatCode="_(* #,##0.00_);_(* \(#,##0.00\);_(* &quot;-&quot;??_);_(@_)"/>
    <numFmt numFmtId="166" formatCode="_-&quot;$&quot;* #,##0_-;\-&quot;$&quot;* #,##0_-;_-&quot;$&quot;* &quot;-&quot;??_-;_-@_-"/>
    <numFmt numFmtId="167" formatCode="_(&quot;$&quot;* #,##0_);_(&quot;$&quot;* \(#,##0\);_(&quot;$&quot;* &quot;-&quot;??_);_(@_)"/>
    <numFmt numFmtId="168" formatCode="_(* #,##0_);_(* \(#,##0\);_(* &quot;-&quot;??_);_(@_)"/>
    <numFmt numFmtId="169" formatCode="_-* #,##0_-;\-* #,##0_-;_-* &quot;-&quot;??_-;_-@_-"/>
    <numFmt numFmtId="170" formatCode="#,##0.0"/>
    <numFmt numFmtId="171" formatCode="0.0"/>
    <numFmt numFmtId="172" formatCode="&quot;$&quot;#,##0"/>
    <numFmt numFmtId="173" formatCode="0.0000"/>
    <numFmt numFmtId="174" formatCode="[$-C09]dd\-mmm\-yy;@"/>
    <numFmt numFmtId="175" formatCode="_(* #,##0.0_);_(* \(#,##0.0\);_(* &quot;-&quot;??_);_(@_)"/>
    <numFmt numFmtId="176" formatCode="0.000"/>
    <numFmt numFmtId="177" formatCode="_(* #,##0.000_);_(* \(#,##0.000\);_(* &quot;-&quot;??_);_(@_)"/>
    <numFmt numFmtId="178" formatCode="0.00000"/>
    <numFmt numFmtId="179" formatCode="0.0%"/>
    <numFmt numFmtId="180" formatCode="&quot;$&quot;#,##0.00"/>
    <numFmt numFmtId="181" formatCode="&quot;$&quot;#,##0.0"/>
  </numFmts>
  <fonts count="9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b/>
      <sz val="11"/>
      <color theme="1"/>
      <name val="Calibri"/>
      <family val="2"/>
      <scheme val="minor"/>
    </font>
    <font>
      <sz val="10"/>
      <name val="Arial"/>
      <family val="2"/>
    </font>
    <font>
      <sz val="8"/>
      <name val="Arial"/>
      <family val="2"/>
    </font>
    <font>
      <sz val="10"/>
      <name val="Arial"/>
      <family val="2"/>
    </font>
    <font>
      <b/>
      <sz val="10"/>
      <name val="Arial"/>
      <family val="2"/>
    </font>
    <font>
      <u/>
      <sz val="10"/>
      <color indexed="12"/>
      <name val="Arial"/>
      <family val="2"/>
    </font>
    <font>
      <b/>
      <sz val="12"/>
      <name val="Arial"/>
      <family val="2"/>
    </font>
    <font>
      <sz val="11"/>
      <color theme="1"/>
      <name val="Arial"/>
      <family val="2"/>
    </font>
    <font>
      <sz val="10"/>
      <name val="Calibri"/>
      <family val="2"/>
      <scheme val="minor"/>
    </font>
    <font>
      <b/>
      <sz val="10"/>
      <name val="Calibri"/>
      <family val="2"/>
      <scheme val="minor"/>
    </font>
    <font>
      <b/>
      <sz val="10"/>
      <color theme="3"/>
      <name val="Calibri"/>
      <family val="2"/>
      <scheme val="minor"/>
    </font>
    <font>
      <b/>
      <sz val="11"/>
      <name val="Calibri"/>
      <family val="2"/>
      <scheme val="minor"/>
    </font>
    <font>
      <sz val="11"/>
      <name val="Calibri"/>
      <family val="2"/>
      <scheme val="minor"/>
    </font>
    <font>
      <u/>
      <sz val="11"/>
      <color theme="10"/>
      <name val="Calibri"/>
      <family val="2"/>
      <scheme val="minor"/>
    </font>
    <font>
      <sz val="10"/>
      <name val="Geneva"/>
    </font>
    <font>
      <sz val="11"/>
      <name val="Arial"/>
      <family val="2"/>
    </font>
    <font>
      <sz val="10"/>
      <name val="Arial"/>
      <family val="2"/>
    </font>
    <font>
      <b/>
      <sz val="8"/>
      <name val="Arial"/>
      <family val="2"/>
    </font>
    <font>
      <sz val="10"/>
      <color theme="1"/>
      <name val="Arial"/>
      <family val="2"/>
    </font>
    <font>
      <sz val="10"/>
      <color theme="0"/>
      <name val="Arial"/>
      <family val="2"/>
    </font>
    <font>
      <sz val="10"/>
      <name val="Arial"/>
      <family val="2"/>
    </font>
    <font>
      <sz val="12"/>
      <color theme="3"/>
      <name val="Calibri"/>
      <family val="2"/>
      <scheme val="minor"/>
    </font>
    <font>
      <b/>
      <sz val="10"/>
      <color theme="0"/>
      <name val="Arial"/>
      <family val="2"/>
    </font>
    <font>
      <b/>
      <sz val="12"/>
      <color theme="0"/>
      <name val="Arial"/>
      <family val="2"/>
    </font>
    <font>
      <b/>
      <sz val="11"/>
      <color rgb="FF3F3F3F"/>
      <name val="Calibri"/>
      <family val="2"/>
      <scheme val="minor"/>
    </font>
    <font>
      <sz val="10"/>
      <color theme="2" tint="-0.499984740745262"/>
      <name val="Arial"/>
      <family val="2"/>
    </font>
    <font>
      <sz val="10"/>
      <color theme="3"/>
      <name val="Calibri"/>
      <family val="2"/>
      <scheme val="minor"/>
    </font>
    <font>
      <sz val="10"/>
      <color theme="2" tint="-0.24994659260841701"/>
      <name val="Arial"/>
      <family val="2"/>
    </font>
    <font>
      <i/>
      <sz val="10"/>
      <name val="Arial"/>
      <family val="2"/>
    </font>
    <font>
      <b/>
      <sz val="9"/>
      <color theme="3"/>
      <name val="Calibri"/>
      <family val="2"/>
      <scheme val="minor"/>
    </font>
    <font>
      <b/>
      <sz val="8"/>
      <color theme="3"/>
      <name val="Calibri"/>
      <family val="2"/>
      <scheme val="minor"/>
    </font>
    <font>
      <sz val="8"/>
      <name val="Arial"/>
      <family val="2"/>
    </font>
    <font>
      <sz val="10"/>
      <name val="Arial"/>
      <family val="2"/>
    </font>
    <font>
      <i/>
      <sz val="11"/>
      <color rgb="FF7F7F7F"/>
      <name val="Calibri"/>
      <family val="2"/>
      <scheme val="minor"/>
    </font>
    <font>
      <sz val="8"/>
      <name val="Arial"/>
      <family val="2"/>
    </font>
    <font>
      <sz val="8"/>
      <color theme="1" tint="0.34998626667073579"/>
      <name val="Arial"/>
      <family val="2"/>
    </font>
    <font>
      <sz val="11"/>
      <color rgb="FF9C0006"/>
      <name val="Calibri"/>
      <family val="2"/>
      <scheme val="minor"/>
    </font>
    <font>
      <b/>
      <i/>
      <sz val="10"/>
      <name val="Arial"/>
      <family val="2"/>
    </font>
    <font>
      <b/>
      <i/>
      <sz val="9"/>
      <name val="Arial"/>
      <family val="2"/>
    </font>
    <font>
      <sz val="8"/>
      <color rgb="FF3F3F76"/>
      <name val="Calibri"/>
      <family val="2"/>
      <scheme val="minor"/>
    </font>
    <font>
      <sz val="8"/>
      <color rgb="FFFF0000"/>
      <name val="Arial"/>
      <family val="2"/>
    </font>
    <font>
      <b/>
      <sz val="10"/>
      <color indexed="9"/>
      <name val="Arial"/>
      <family val="2"/>
    </font>
    <font>
      <b/>
      <sz val="11"/>
      <color indexed="9"/>
      <name val="Arial"/>
      <family val="2"/>
    </font>
    <font>
      <b/>
      <sz val="10"/>
      <color rgb="FFFFFFFF"/>
      <name val="Arial"/>
      <family val="2"/>
    </font>
    <font>
      <u/>
      <sz val="10"/>
      <name val="Arial"/>
      <family val="2"/>
    </font>
    <font>
      <vertAlign val="superscript"/>
      <sz val="10"/>
      <name val="Arial"/>
      <family val="2"/>
    </font>
    <font>
      <b/>
      <u/>
      <sz val="10"/>
      <name val="Arial"/>
      <family val="2"/>
    </font>
    <font>
      <u/>
      <sz val="11"/>
      <name val="Calibri"/>
      <family val="2"/>
      <scheme val="minor"/>
    </font>
    <font>
      <i/>
      <sz val="10"/>
      <color rgb="FFFF0000"/>
      <name val="Arial"/>
      <family val="2"/>
    </font>
    <font>
      <sz val="11"/>
      <color theme="3"/>
      <name val="Calibri"/>
      <family val="2"/>
      <scheme val="minor"/>
    </font>
    <font>
      <b/>
      <i/>
      <sz val="8"/>
      <name val="Arial"/>
      <family val="2"/>
    </font>
    <font>
      <sz val="8"/>
      <name val="Arial"/>
      <family val="2"/>
    </font>
    <font>
      <sz val="12"/>
      <name val="Aptos"/>
      <family val="2"/>
    </font>
    <font>
      <i/>
      <sz val="9"/>
      <name val="Arial"/>
      <family val="2"/>
    </font>
    <font>
      <sz val="8"/>
      <color rgb="FF3F3F3F"/>
      <name val="Arial"/>
      <family val="2"/>
    </font>
    <font>
      <sz val="8"/>
      <color rgb="FF3F3F76"/>
      <name val="Arial"/>
      <family val="2"/>
    </font>
    <font>
      <b/>
      <sz val="8"/>
      <color theme="1"/>
      <name val="Arial"/>
      <family val="2"/>
    </font>
    <font>
      <sz val="10"/>
      <color rgb="FF22272B"/>
      <name val="Public Sans Light"/>
    </font>
    <font>
      <vertAlign val="superscript"/>
      <sz val="10"/>
      <color rgb="FF22272B"/>
      <name val="Public Sans Light"/>
    </font>
    <font>
      <b/>
      <sz val="8"/>
      <color theme="0"/>
      <name val="Arial"/>
      <family val="2"/>
    </font>
    <font>
      <u/>
      <sz val="8"/>
      <color indexed="12"/>
      <name val="Arial"/>
      <family val="2"/>
    </font>
    <font>
      <i/>
      <sz val="8"/>
      <color rgb="FF7F7F7F"/>
      <name val="Arial"/>
      <family val="2"/>
    </font>
    <font>
      <b/>
      <sz val="8"/>
      <color rgb="FF3F3F3F"/>
      <name val="Arial"/>
      <family val="2"/>
    </font>
    <font>
      <sz val="8"/>
      <color theme="0"/>
      <name val="Arial"/>
      <family val="2"/>
    </font>
    <font>
      <i/>
      <sz val="8"/>
      <color rgb="FF7F7F7F"/>
      <name val="Calibri"/>
      <family val="2"/>
      <scheme val="minor"/>
    </font>
    <font>
      <b/>
      <sz val="8"/>
      <color theme="0"/>
      <name val="Calibri"/>
      <family val="2"/>
      <scheme val="minor"/>
    </font>
    <font>
      <b/>
      <sz val="8"/>
      <color rgb="FF3F3F3F"/>
      <name val="Calibri"/>
      <family val="2"/>
      <scheme val="minor"/>
    </font>
    <font>
      <i/>
      <sz val="8"/>
      <color theme="8" tint="-0.499984740745262"/>
      <name val="Arial"/>
      <family val="2"/>
    </font>
    <font>
      <b/>
      <sz val="8"/>
      <name val="Calibri"/>
      <family val="2"/>
      <scheme val="minor"/>
    </font>
    <font>
      <b/>
      <sz val="8"/>
      <color rgb="FFFA7D00"/>
      <name val="Arial"/>
      <family val="2"/>
    </font>
    <font>
      <b/>
      <sz val="8"/>
      <color theme="3"/>
      <name val="Arial"/>
      <family val="2"/>
    </font>
    <font>
      <i/>
      <sz val="10"/>
      <color rgb="FF7F7F7F"/>
      <name val="Calibri"/>
      <family val="2"/>
      <scheme val="minor"/>
    </font>
    <font>
      <b/>
      <sz val="10"/>
      <color rgb="FFFF0000"/>
      <name val="Arial"/>
      <family val="2"/>
    </font>
    <font>
      <b/>
      <sz val="9"/>
      <name val="Arial"/>
      <family val="2"/>
    </font>
    <font>
      <sz val="8"/>
      <name val="Arial"/>
    </font>
  </fonts>
  <fills count="22">
    <fill>
      <patternFill patternType="none"/>
    </fill>
    <fill>
      <patternFill patternType="gray125"/>
    </fill>
    <fill>
      <patternFill patternType="solid">
        <fgColor rgb="FFFFCC99"/>
      </patternFill>
    </fill>
    <fill>
      <patternFill patternType="solid">
        <fgColor rgb="FFF2F2F2"/>
      </patternFill>
    </fill>
    <fill>
      <patternFill patternType="solid">
        <fgColor theme="4" tint="0.79998168889431442"/>
        <bgColor indexed="65"/>
      </patternFill>
    </fill>
    <fill>
      <patternFill patternType="solid">
        <fgColor indexed="22"/>
        <bgColor indexed="55"/>
      </patternFill>
    </fill>
    <fill>
      <patternFill patternType="solid">
        <fgColor theme="1"/>
        <bgColor indexed="64"/>
      </patternFill>
    </fill>
    <fill>
      <patternFill patternType="solid">
        <fgColor rgb="FFA5A5A5"/>
      </patternFill>
    </fill>
    <fill>
      <patternFill patternType="solid">
        <fgColor rgb="FFFFFFCC"/>
      </patternFill>
    </fill>
    <fill>
      <patternFill patternType="solid">
        <fgColor rgb="FFFFC7CE"/>
      </patternFill>
    </fill>
    <fill>
      <patternFill patternType="solid">
        <fgColor indexed="8"/>
        <bgColor indexed="64"/>
      </patternFill>
    </fill>
    <fill>
      <patternFill patternType="solid">
        <fgColor theme="0"/>
        <bgColor indexed="64"/>
      </patternFill>
    </fill>
    <fill>
      <patternFill patternType="solid">
        <fgColor theme="1" tint="4.9989318521683403E-2"/>
        <bgColor indexed="64"/>
      </patternFill>
    </fill>
    <fill>
      <patternFill patternType="solid">
        <fgColor rgb="FF4476BB"/>
        <bgColor indexed="64"/>
      </patternFill>
    </fill>
    <fill>
      <patternFill patternType="solid">
        <fgColor theme="9" tint="0.79998168889431442"/>
        <bgColor indexed="64"/>
      </patternFill>
    </fill>
    <fill>
      <patternFill patternType="solid">
        <fgColor rgb="FFCC99FF"/>
        <bgColor indexed="64"/>
      </patternFill>
    </fill>
    <fill>
      <patternFill patternType="solid">
        <fgColor rgb="FFFFFF99"/>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249977111117893"/>
        <bgColor indexed="64"/>
      </patternFill>
    </fill>
    <fill>
      <patternFill patternType="lightDown">
        <bgColor rgb="FFCC99FF"/>
      </patternFill>
    </fill>
    <fill>
      <patternFill patternType="solid">
        <fgColor theme="3"/>
        <bgColor indexed="64"/>
      </patternFill>
    </fill>
  </fills>
  <borders count="100">
    <border>
      <left/>
      <right/>
      <top/>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auto="1"/>
      </left>
      <right style="medium">
        <color auto="1"/>
      </right>
      <top style="thin">
        <color auto="1"/>
      </top>
      <bottom style="thin">
        <color auto="1"/>
      </bottom>
      <diagonal/>
    </border>
    <border>
      <left/>
      <right/>
      <top style="medium">
        <color indexed="64"/>
      </top>
      <bottom style="medium">
        <color indexed="64"/>
      </bottom>
      <diagonal/>
    </border>
    <border>
      <left style="medium">
        <color auto="1"/>
      </left>
      <right/>
      <top/>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theme="2" tint="-0.24994659260841701"/>
      </left>
      <right style="thin">
        <color theme="2" tint="-0.24994659260841701"/>
      </right>
      <top style="thin">
        <color theme="2" tint="-0.24994659260841701"/>
      </top>
      <bottom style="thin">
        <color theme="2" tint="-0.24994659260841701"/>
      </bottom>
      <diagonal/>
    </border>
    <border>
      <left style="double">
        <color rgb="FF3F3F3F"/>
      </left>
      <right style="double">
        <color rgb="FF3F3F3F"/>
      </right>
      <top style="double">
        <color rgb="FF3F3F3F"/>
      </top>
      <bottom style="double">
        <color rgb="FF3F3F3F"/>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theme="4"/>
      </left>
      <right style="thin">
        <color theme="4"/>
      </right>
      <top style="thin">
        <color theme="4"/>
      </top>
      <bottom style="thin">
        <color theme="4"/>
      </bottom>
      <diagonal/>
    </border>
    <border>
      <left/>
      <right style="thin">
        <color rgb="FF7F7F7F"/>
      </right>
      <top/>
      <bottom/>
      <diagonal/>
    </border>
    <border>
      <left style="thin">
        <color indexed="64"/>
      </left>
      <right style="thin">
        <color indexed="64"/>
      </right>
      <top/>
      <bottom/>
      <diagonal/>
    </border>
    <border>
      <left style="thin">
        <color theme="2" tint="-0.24994659260841701"/>
      </left>
      <right/>
      <top style="thin">
        <color theme="2" tint="-0.24994659260841701"/>
      </top>
      <bottom style="thin">
        <color theme="2"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thin">
        <color rgb="FFB2B2B2"/>
      </right>
      <top style="thin">
        <color rgb="FFB2B2B2"/>
      </top>
      <bottom style="thin">
        <color rgb="FFB2B2B2"/>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B2B2B2"/>
      </left>
      <right/>
      <top/>
      <bottom/>
      <diagonal/>
    </border>
    <border>
      <left style="thin">
        <color rgb="FFB2B2B2"/>
      </left>
      <right/>
      <top style="thin">
        <color rgb="FFB2B2B2"/>
      </top>
      <bottom style="thin">
        <color rgb="FFB2B2B2"/>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3F3F3F"/>
      </left>
      <right style="thin">
        <color rgb="FF3F3F3F"/>
      </right>
      <top/>
      <bottom style="thin">
        <color rgb="FF3F3F3F"/>
      </bottom>
      <diagonal/>
    </border>
    <border>
      <left style="double">
        <color theme="4"/>
      </left>
      <right style="double">
        <color theme="4"/>
      </right>
      <top style="double">
        <color theme="4"/>
      </top>
      <bottom style="double">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rgb="FF7F7F7F"/>
      </top>
      <bottom/>
      <diagonal/>
    </border>
    <border>
      <left style="thin">
        <color rgb="FF7F7F7F"/>
      </left>
      <right/>
      <top style="thin">
        <color rgb="FF7F7F7F"/>
      </top>
      <bottom/>
      <diagonal/>
    </border>
    <border>
      <left style="thin">
        <color theme="4"/>
      </left>
      <right/>
      <top style="thin">
        <color theme="4"/>
      </top>
      <bottom style="thin">
        <color theme="4"/>
      </bottom>
      <diagonal/>
    </border>
    <border>
      <left style="thin">
        <color theme="4"/>
      </left>
      <right/>
      <top style="thin">
        <color rgb="FF7F7F7F"/>
      </top>
      <bottom style="thin">
        <color theme="4"/>
      </bottom>
      <diagonal/>
    </border>
    <border>
      <left style="thin">
        <color rgb="FF3F3F3F"/>
      </left>
      <right style="thin">
        <color rgb="FF3F3F3F"/>
      </right>
      <top style="thin">
        <color rgb="FF3F3F3F"/>
      </top>
      <bottom/>
      <diagonal/>
    </border>
    <border>
      <left/>
      <right/>
      <top style="thin">
        <color theme="4"/>
      </top>
      <bottom/>
      <diagonal/>
    </border>
    <border>
      <left style="thin">
        <color rgb="FF7F7F7F"/>
      </left>
      <right style="thin">
        <color rgb="FF7F7F7F"/>
      </right>
      <top/>
      <bottom/>
      <diagonal/>
    </border>
    <border>
      <left style="thin">
        <color theme="4"/>
      </left>
      <right style="thin">
        <color theme="4"/>
      </right>
      <top style="thin">
        <color rgb="FF7F7F7F"/>
      </top>
      <bottom/>
      <diagonal/>
    </border>
    <border>
      <left style="thin">
        <color theme="4"/>
      </left>
      <right style="thin">
        <color theme="4"/>
      </right>
      <top style="thin">
        <color rgb="FF7F7F7F"/>
      </top>
      <bottom style="thin">
        <color theme="4"/>
      </bottom>
      <diagonal/>
    </border>
    <border>
      <left/>
      <right/>
      <top style="thin">
        <color rgb="FFB2B2B2"/>
      </top>
      <bottom style="thin">
        <color rgb="FFB2B2B2"/>
      </bottom>
      <diagonal/>
    </border>
    <border>
      <left style="thin">
        <color theme="4"/>
      </left>
      <right style="thin">
        <color rgb="FFB2B2B2"/>
      </right>
      <top style="thin">
        <color rgb="FFB2B2B2"/>
      </top>
      <bottom style="thin">
        <color theme="4"/>
      </bottom>
      <diagonal/>
    </border>
    <border>
      <left style="thin">
        <color theme="4"/>
      </left>
      <right style="thin">
        <color rgb="FFB2B2B2"/>
      </right>
      <top/>
      <bottom style="thin">
        <color theme="4"/>
      </bottom>
      <diagonal/>
    </border>
    <border>
      <left/>
      <right style="thin">
        <color indexed="64"/>
      </right>
      <top/>
      <bottom/>
      <diagonal/>
    </border>
    <border>
      <left style="thin">
        <color indexed="64"/>
      </left>
      <right/>
      <top/>
      <bottom/>
      <diagonal/>
    </border>
    <border>
      <left style="thin">
        <color indexed="64"/>
      </left>
      <right/>
      <top style="thin">
        <color rgb="FFB2B2B2"/>
      </top>
      <bottom/>
      <diagonal/>
    </border>
    <border>
      <left/>
      <right style="thin">
        <color rgb="FFB2B2B2"/>
      </right>
      <top style="thin">
        <color rgb="FFB2B2B2"/>
      </top>
      <bottom/>
      <diagonal/>
    </border>
    <border>
      <left style="thin">
        <color indexed="64"/>
      </left>
      <right/>
      <top/>
      <bottom style="thin">
        <color rgb="FFB2B2B2"/>
      </bottom>
      <diagonal/>
    </border>
    <border>
      <left/>
      <right style="thin">
        <color rgb="FFB2B2B2"/>
      </right>
      <top/>
      <bottom style="thin">
        <color rgb="FFB2B2B2"/>
      </bottom>
      <diagonal/>
    </border>
    <border>
      <left/>
      <right/>
      <top/>
      <bottom style="double">
        <color theme="4"/>
      </bottom>
      <diagonal/>
    </border>
    <border>
      <left style="thin">
        <color rgb="FFB2B2B2"/>
      </left>
      <right style="thin">
        <color rgb="FFB2B2B2"/>
      </right>
      <top/>
      <bottom style="thin">
        <color rgb="FFB2B2B2"/>
      </bottom>
      <diagonal/>
    </border>
    <border>
      <left style="thin">
        <color indexed="64"/>
      </left>
      <right/>
      <top style="thin">
        <color rgb="FFB2B2B2"/>
      </top>
      <bottom style="thin">
        <color rgb="FFB2B2B2"/>
      </bottom>
      <diagonal/>
    </border>
    <border>
      <left style="thin">
        <color indexed="64"/>
      </left>
      <right/>
      <top style="thin">
        <color indexed="64"/>
      </top>
      <bottom/>
      <diagonal/>
    </border>
    <border>
      <left/>
      <right style="thin">
        <color rgb="FFB2B2B2"/>
      </right>
      <top style="thin">
        <color indexed="64"/>
      </top>
      <bottom/>
      <diagonal/>
    </border>
    <border>
      <left/>
      <right style="thin">
        <color rgb="FFB2B2B2"/>
      </right>
      <top style="thin">
        <color indexed="64"/>
      </top>
      <bottom style="thin">
        <color indexed="64"/>
      </bottom>
      <diagonal/>
    </border>
    <border>
      <left style="thin">
        <color theme="4"/>
      </left>
      <right/>
      <top/>
      <bottom/>
      <diagonal/>
    </border>
    <border>
      <left/>
      <right/>
      <top/>
      <bottom style="thin">
        <color rgb="FFB2B2B2"/>
      </bottom>
      <diagonal/>
    </border>
    <border>
      <left style="thin">
        <color indexed="64"/>
      </left>
      <right style="thin">
        <color rgb="FFB2B2B2"/>
      </right>
      <top/>
      <bottom/>
      <diagonal/>
    </border>
    <border>
      <left style="thin">
        <color rgb="FFB2B2B2"/>
      </left>
      <right style="thin">
        <color rgb="FFB2B2B2"/>
      </right>
      <top style="thin">
        <color rgb="FFB2B2B2"/>
      </top>
      <bottom/>
      <diagonal/>
    </border>
    <border>
      <left style="thin">
        <color rgb="FF7F7F7F"/>
      </left>
      <right/>
      <top/>
      <bottom/>
      <diagonal/>
    </border>
    <border>
      <left style="thin">
        <color rgb="FF3F3F3F"/>
      </left>
      <right/>
      <top style="thin">
        <color rgb="FF3F3F3F"/>
      </top>
      <bottom style="thin">
        <color rgb="FF3F3F3F"/>
      </bottom>
      <diagonal/>
    </border>
    <border>
      <left/>
      <right style="thin">
        <color rgb="FFB2B2B2"/>
      </right>
      <top/>
      <bottom/>
      <diagonal/>
    </border>
    <border>
      <left style="thin">
        <color indexed="64"/>
      </left>
      <right style="thin">
        <color rgb="FFB2B2B2"/>
      </right>
      <top style="thin">
        <color rgb="FFB2B2B2"/>
      </top>
      <bottom/>
      <diagonal/>
    </border>
    <border>
      <left style="thin">
        <color indexed="64"/>
      </left>
      <right style="thin">
        <color rgb="FFB2B2B2"/>
      </right>
      <top/>
      <bottom style="thin">
        <color rgb="FFB2B2B2"/>
      </bottom>
      <diagonal/>
    </border>
    <border>
      <left style="thin">
        <color rgb="FFB2B2B2"/>
      </left>
      <right style="thin">
        <color rgb="FFB2B2B2"/>
      </right>
      <top/>
      <bottom/>
      <diagonal/>
    </border>
    <border>
      <left style="thin">
        <color rgb="FFB2B2B2"/>
      </left>
      <right/>
      <top style="thin">
        <color rgb="FFB2B2B2"/>
      </top>
      <bottom/>
      <diagonal/>
    </border>
    <border>
      <left style="thin">
        <color indexed="64"/>
      </left>
      <right style="thin">
        <color indexed="64"/>
      </right>
      <top style="thin">
        <color rgb="FFB2B2B2"/>
      </top>
      <bottom/>
      <diagonal/>
    </border>
    <border>
      <left style="thin">
        <color indexed="64"/>
      </left>
      <right style="thin">
        <color indexed="64"/>
      </right>
      <top/>
      <bottom style="thin">
        <color rgb="FFB2B2B2"/>
      </bottom>
      <diagonal/>
    </border>
    <border>
      <left style="thin">
        <color indexed="64"/>
      </left>
      <right/>
      <top style="thin">
        <color rgb="FFB2B2B2"/>
      </top>
      <bottom style="thin">
        <color rgb="FF7F7F7F"/>
      </bottom>
      <diagonal/>
    </border>
    <border>
      <left/>
      <right style="thin">
        <color rgb="FFB2B2B2"/>
      </right>
      <top style="thin">
        <color rgb="FFB2B2B2"/>
      </top>
      <bottom style="thin">
        <color rgb="FF7F7F7F"/>
      </bottom>
      <diagonal/>
    </border>
    <border>
      <left style="thin">
        <color indexed="64"/>
      </left>
      <right style="thin">
        <color rgb="FFB2B2B2"/>
      </right>
      <top style="thin">
        <color rgb="FF7F7F7F"/>
      </top>
      <bottom/>
      <diagonal/>
    </border>
    <border>
      <left style="thin">
        <color indexed="64"/>
      </left>
      <right style="thin">
        <color theme="2" tint="-9.9948118533890809E-2"/>
      </right>
      <top style="thin">
        <color rgb="FFB2B2B2"/>
      </top>
      <bottom/>
      <diagonal/>
    </border>
    <border>
      <left style="thin">
        <color indexed="64"/>
      </left>
      <right style="thin">
        <color theme="2" tint="-9.9948118533890809E-2"/>
      </right>
      <top/>
      <bottom/>
      <diagonal/>
    </border>
    <border>
      <left style="thin">
        <color indexed="64"/>
      </left>
      <right style="thin">
        <color theme="2" tint="-9.9948118533890809E-2"/>
      </right>
      <top/>
      <bottom style="thin">
        <color rgb="FFB2B2B2"/>
      </bottom>
      <diagonal/>
    </border>
    <border>
      <left/>
      <right/>
      <top style="thin">
        <color indexed="64"/>
      </top>
      <bottom style="thin">
        <color rgb="FFB2B2B2"/>
      </bottom>
      <diagonal/>
    </border>
    <border>
      <left style="thin">
        <color indexed="64"/>
      </left>
      <right style="thin">
        <color rgb="FFB2B2B2"/>
      </right>
      <top style="thin">
        <color rgb="FFB2B2B2"/>
      </top>
      <bottom style="thin">
        <color rgb="FFB2B2B2"/>
      </bottom>
      <diagonal/>
    </border>
    <border>
      <left style="thin">
        <color rgb="FF7F7F7F"/>
      </left>
      <right style="thin">
        <color rgb="FF7F7F7F"/>
      </right>
      <top/>
      <bottom style="medium">
        <color theme="4" tint="0.39997558519241921"/>
      </bottom>
      <diagonal/>
    </border>
    <border>
      <left style="thin">
        <color indexed="64"/>
      </left>
      <right style="thin">
        <color theme="2"/>
      </right>
      <top style="thin">
        <color rgb="FFB2B2B2"/>
      </top>
      <bottom style="thin">
        <color rgb="FFB2B2B2"/>
      </bottom>
      <diagonal/>
    </border>
    <border>
      <left style="thin">
        <color indexed="64"/>
      </left>
      <right style="thin">
        <color theme="2"/>
      </right>
      <top style="thin">
        <color rgb="FFB2B2B2"/>
      </top>
      <bottom/>
      <diagonal/>
    </border>
    <border>
      <left style="thin">
        <color indexed="64"/>
      </left>
      <right style="thin">
        <color theme="2"/>
      </right>
      <top/>
      <bottom/>
      <diagonal/>
    </border>
    <border>
      <left style="thin">
        <color indexed="64"/>
      </left>
      <right style="thin">
        <color theme="2"/>
      </right>
      <top/>
      <bottom style="thin">
        <color rgb="FFB2B2B2"/>
      </bottom>
      <diagonal/>
    </border>
    <border>
      <left style="thin">
        <color theme="2"/>
      </left>
      <right style="thin">
        <color rgb="FFB2B2B2"/>
      </right>
      <top style="thin">
        <color rgb="FFB2B2B2"/>
      </top>
      <bottom/>
      <diagonal/>
    </border>
    <border>
      <left style="thin">
        <color theme="2"/>
      </left>
      <right style="thin">
        <color rgb="FFB2B2B2"/>
      </right>
      <top/>
      <bottom/>
      <diagonal/>
    </border>
    <border>
      <left style="thin">
        <color theme="2"/>
      </left>
      <right style="thin">
        <color rgb="FFB2B2B2"/>
      </right>
      <top/>
      <bottom style="thin">
        <color rgb="FFB2B2B2"/>
      </bottom>
      <diagonal/>
    </border>
    <border>
      <left style="thin">
        <color indexed="64"/>
      </left>
      <right/>
      <top style="thin">
        <color indexed="64"/>
      </top>
      <bottom style="thin">
        <color rgb="FFB2B2B2"/>
      </bottom>
      <diagonal/>
    </border>
    <border>
      <left style="thin">
        <color rgb="FFB2B2B2"/>
      </left>
      <right/>
      <top style="thin">
        <color indexed="64"/>
      </top>
      <bottom style="thin">
        <color rgb="FFB2B2B2"/>
      </bottom>
      <diagonal/>
    </border>
    <border>
      <left/>
      <right style="thin">
        <color rgb="FFB2B2B2"/>
      </right>
      <top style="thin">
        <color indexed="64"/>
      </top>
      <bottom style="thin">
        <color rgb="FFB2B2B2"/>
      </bottom>
      <diagonal/>
    </border>
    <border>
      <left style="thin">
        <color rgb="FF7F7F7F"/>
      </left>
      <right/>
      <top style="thin">
        <color rgb="FFB2B2B2"/>
      </top>
      <bottom style="thin">
        <color rgb="FFB2B2B2"/>
      </bottom>
      <diagonal/>
    </border>
    <border>
      <left style="thin">
        <color auto="1"/>
      </left>
      <right style="thin">
        <color rgb="FF7F7F7F"/>
      </right>
      <top style="thin">
        <color rgb="FF7F7F7F"/>
      </top>
      <bottom style="thin">
        <color rgb="FF7F7F7F"/>
      </bottom>
      <diagonal/>
    </border>
    <border>
      <left style="thin">
        <color auto="1"/>
      </left>
      <right style="thin">
        <color rgb="FFB2B2B2"/>
      </right>
      <top style="thin">
        <color rgb="FF7F7F7F"/>
      </top>
      <bottom style="thin">
        <color rgb="FF7F7F7F"/>
      </bottom>
      <diagonal/>
    </border>
    <border>
      <left style="thin">
        <color rgb="FFB2B2B2"/>
      </left>
      <right style="thin">
        <color rgb="FF7F7F7F"/>
      </right>
      <top style="thin">
        <color rgb="FFB2B2B2"/>
      </top>
      <bottom style="thin">
        <color rgb="FFB2B2B2"/>
      </bottom>
      <diagonal/>
    </border>
  </borders>
  <cellStyleXfs count="115">
    <xf numFmtId="0" fontId="0" fillId="0" borderId="0"/>
    <xf numFmtId="164" fontId="20" fillId="0" borderId="0" applyFont="0" applyFill="0" applyBorder="0" applyAlignment="0" applyProtection="0"/>
    <xf numFmtId="0" fontId="13" fillId="0" borderId="1" applyNumberFormat="0" applyFill="0" applyAlignment="0" applyProtection="0"/>
    <xf numFmtId="0" fontId="14" fillId="0" borderId="2" applyNumberFormat="0" applyFill="0" applyAlignment="0" applyProtection="0"/>
    <xf numFmtId="0" fontId="15" fillId="2" borderId="3" applyNumberFormat="0" applyAlignment="0" applyProtection="0"/>
    <xf numFmtId="0" fontId="16" fillId="3" borderId="3" applyNumberFormat="0" applyAlignment="0" applyProtection="0"/>
    <xf numFmtId="0" fontId="17" fillId="0" borderId="4" applyNumberFormat="0" applyFill="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22" fillId="0" borderId="0"/>
    <xf numFmtId="0" fontId="22" fillId="0" borderId="0"/>
    <xf numFmtId="0" fontId="24" fillId="0" borderId="0" applyNumberFormat="0" applyFill="0" applyBorder="0" applyAlignment="0" applyProtection="0">
      <alignment vertical="top"/>
      <protection locked="0"/>
    </xf>
    <xf numFmtId="0" fontId="12" fillId="0" borderId="0"/>
    <xf numFmtId="164" fontId="12" fillId="0" borderId="0" applyFont="0" applyFill="0" applyBorder="0" applyAlignment="0" applyProtection="0"/>
    <xf numFmtId="9" fontId="12" fillId="0" borderId="0" applyFont="0" applyFill="0" applyBorder="0" applyAlignment="0" applyProtection="0"/>
    <xf numFmtId="0" fontId="12" fillId="4" borderId="0" applyNumberFormat="0" applyBorder="0" applyAlignment="0" applyProtection="0"/>
    <xf numFmtId="165" fontId="12" fillId="0" borderId="0" applyFont="0" applyFill="0" applyBorder="0" applyAlignment="0" applyProtection="0"/>
    <xf numFmtId="0" fontId="25" fillId="5" borderId="11"/>
    <xf numFmtId="0" fontId="22" fillId="0" borderId="6">
      <alignment horizontal="center"/>
      <protection hidden="1"/>
    </xf>
    <xf numFmtId="0" fontId="22" fillId="0" borderId="10">
      <alignment horizontal="center"/>
      <protection hidden="1"/>
    </xf>
    <xf numFmtId="0" fontId="22" fillId="0" borderId="12">
      <protection hidden="1"/>
    </xf>
    <xf numFmtId="3" fontId="22" fillId="0" borderId="10">
      <alignment horizontal="center"/>
      <protection hidden="1"/>
    </xf>
    <xf numFmtId="164" fontId="12" fillId="0" borderId="0" applyFont="0" applyFill="0" applyBorder="0" applyAlignment="0" applyProtection="0"/>
    <xf numFmtId="0" fontId="22" fillId="0" borderId="0"/>
    <xf numFmtId="0" fontId="32" fillId="0" borderId="0" applyNumberFormat="0" applyFill="0" applyBorder="0" applyAlignment="0" applyProtection="0"/>
    <xf numFmtId="0" fontId="22" fillId="0" borderId="0"/>
    <xf numFmtId="164" fontId="22" fillId="0" borderId="0" applyFont="0" applyFill="0" applyBorder="0" applyAlignment="0" applyProtection="0"/>
    <xf numFmtId="0" fontId="22" fillId="0" borderId="0"/>
    <xf numFmtId="165" fontId="22" fillId="0" borderId="0" applyFont="0" applyFill="0" applyBorder="0" applyAlignment="0" applyProtection="0"/>
    <xf numFmtId="165" fontId="12" fillId="0" borderId="0" applyFont="0" applyFill="0" applyBorder="0" applyAlignment="0" applyProtection="0"/>
    <xf numFmtId="0" fontId="12" fillId="0" borderId="0"/>
    <xf numFmtId="0" fontId="33" fillId="0" borderId="0"/>
    <xf numFmtId="9" fontId="35" fillId="0" borderId="0" applyFont="0" applyFill="0" applyBorder="0" applyAlignment="0" applyProtection="0"/>
    <xf numFmtId="0" fontId="20" fillId="0" borderId="0"/>
    <xf numFmtId="164" fontId="20" fillId="0" borderId="0" applyFont="0" applyFill="0" applyBorder="0" applyAlignment="0" applyProtection="0"/>
    <xf numFmtId="0" fontId="20" fillId="0" borderId="0"/>
    <xf numFmtId="164" fontId="20" fillId="0" borderId="0" applyFont="0" applyFill="0" applyBorder="0" applyAlignment="0" applyProtection="0"/>
    <xf numFmtId="0" fontId="11" fillId="0" borderId="0"/>
    <xf numFmtId="0" fontId="20" fillId="0" borderId="0"/>
    <xf numFmtId="0" fontId="10" fillId="0" borderId="0"/>
    <xf numFmtId="9" fontId="20" fillId="0" borderId="0" applyFont="0" applyFill="0" applyBorder="0" applyAlignment="0" applyProtection="0"/>
    <xf numFmtId="165" fontId="20" fillId="0" borderId="0" applyFont="0" applyFill="0" applyBorder="0" applyAlignment="0" applyProtection="0"/>
    <xf numFmtId="0" fontId="20" fillId="0" borderId="6">
      <alignment horizontal="center"/>
      <protection hidden="1"/>
    </xf>
    <xf numFmtId="0" fontId="9" fillId="0" borderId="0"/>
    <xf numFmtId="164" fontId="9" fillId="0" borderId="0" applyFont="0" applyFill="0" applyBorder="0" applyAlignment="0" applyProtection="0"/>
    <xf numFmtId="9" fontId="9" fillId="0" borderId="0" applyFont="0" applyFill="0" applyBorder="0" applyAlignment="0" applyProtection="0"/>
    <xf numFmtId="165" fontId="39" fillId="0" borderId="0" applyFont="0" applyFill="0" applyBorder="0" applyAlignment="0" applyProtection="0"/>
    <xf numFmtId="0" fontId="8" fillId="0" borderId="0"/>
    <xf numFmtId="0" fontId="26" fillId="0" borderId="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34" fillId="0" borderId="0"/>
    <xf numFmtId="0" fontId="7" fillId="0" borderId="0"/>
    <xf numFmtId="0" fontId="20" fillId="0" borderId="0"/>
    <xf numFmtId="0" fontId="6" fillId="0" borderId="0"/>
    <xf numFmtId="164" fontId="20" fillId="0" borderId="0" applyFont="0" applyFill="0" applyBorder="0" applyAlignment="0" applyProtection="0"/>
    <xf numFmtId="164" fontId="6" fillId="0" borderId="0" applyFont="0" applyFill="0" applyBorder="0" applyAlignment="0" applyProtection="0"/>
    <xf numFmtId="165" fontId="20" fillId="0" borderId="0" applyFont="0" applyFill="0" applyBorder="0" applyAlignment="0" applyProtection="0"/>
    <xf numFmtId="0" fontId="20" fillId="0" borderId="0"/>
    <xf numFmtId="0" fontId="5" fillId="0" borderId="0"/>
    <xf numFmtId="9" fontId="5" fillId="0" borderId="0" applyFont="0" applyFill="0" applyBorder="0" applyAlignment="0" applyProtection="0"/>
    <xf numFmtId="0" fontId="20" fillId="0" borderId="5">
      <protection hidden="1"/>
    </xf>
    <xf numFmtId="0" fontId="20" fillId="0" borderId="0"/>
    <xf numFmtId="0" fontId="4" fillId="0" borderId="0"/>
    <xf numFmtId="164" fontId="4" fillId="0" borderId="0" applyFont="0" applyFill="0" applyBorder="0" applyAlignment="0" applyProtection="0"/>
    <xf numFmtId="9" fontId="4" fillId="0" borderId="0" applyFont="0" applyFill="0" applyBorder="0" applyAlignment="0" applyProtection="0"/>
    <xf numFmtId="0" fontId="4" fillId="4" borderId="0" applyNumberFormat="0" applyBorder="0" applyAlignment="0" applyProtection="0"/>
    <xf numFmtId="165" fontId="4" fillId="0" borderId="0" applyFont="0" applyFill="0" applyBorder="0" applyAlignment="0" applyProtection="0"/>
    <xf numFmtId="0" fontId="20" fillId="0" borderId="10">
      <alignment horizontal="center"/>
      <protection hidden="1"/>
    </xf>
    <xf numFmtId="0" fontId="20" fillId="0" borderId="12">
      <protection hidden="1"/>
    </xf>
    <xf numFmtId="3" fontId="20" fillId="0" borderId="10">
      <alignment horizontal="center"/>
      <protection hidden="1"/>
    </xf>
    <xf numFmtId="164" fontId="4" fillId="0" borderId="0" applyFont="0" applyFill="0" applyBorder="0" applyAlignment="0" applyProtection="0"/>
    <xf numFmtId="164" fontId="20" fillId="0" borderId="0" applyFont="0" applyFill="0" applyBorder="0" applyAlignment="0" applyProtection="0"/>
    <xf numFmtId="0" fontId="20" fillId="0" borderId="0"/>
    <xf numFmtId="165" fontId="20" fillId="0" borderId="0" applyFont="0" applyFill="0" applyBorder="0" applyAlignment="0" applyProtection="0"/>
    <xf numFmtId="165" fontId="4" fillId="0" borderId="0" applyFont="0" applyFill="0" applyBorder="0" applyAlignment="0" applyProtection="0"/>
    <xf numFmtId="0" fontId="4" fillId="0" borderId="0"/>
    <xf numFmtId="164" fontId="20" fillId="0" borderId="0" applyFont="0" applyFill="0" applyBorder="0" applyAlignment="0" applyProtection="0"/>
    <xf numFmtId="164" fontId="20" fillId="0" borderId="0" applyFont="0" applyFill="0" applyBorder="0" applyAlignment="0" applyProtection="0"/>
    <xf numFmtId="0" fontId="4" fillId="0" borderId="0"/>
    <xf numFmtId="0" fontId="4" fillId="0" borderId="0"/>
    <xf numFmtId="165" fontId="20" fillId="0" borderId="0" applyFont="0" applyFill="0" applyBorder="0" applyAlignment="0" applyProtection="0"/>
    <xf numFmtId="0" fontId="4" fillId="0" borderId="0"/>
    <xf numFmtId="164" fontId="4" fillId="0" borderId="0" applyFont="0" applyFill="0" applyBorder="0" applyAlignment="0" applyProtection="0"/>
    <xf numFmtId="9" fontId="4" fillId="0" borderId="0" applyFont="0" applyFill="0" applyBorder="0" applyAlignment="0" applyProtection="0"/>
    <xf numFmtId="165" fontId="20" fillId="0" borderId="0" applyFont="0" applyFill="0" applyBorder="0" applyAlignment="0" applyProtection="0"/>
    <xf numFmtId="0" fontId="4" fillId="0" borderId="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164" fontId="20" fillId="0" borderId="0" applyFont="0" applyFill="0" applyBorder="0" applyAlignment="0" applyProtection="0"/>
    <xf numFmtId="0" fontId="4" fillId="0" borderId="0"/>
    <xf numFmtId="0" fontId="4" fillId="0" borderId="0"/>
    <xf numFmtId="164" fontId="20" fillId="0" borderId="0" applyFont="0" applyFill="0" applyBorder="0" applyAlignment="0" applyProtection="0"/>
    <xf numFmtId="164" fontId="4" fillId="0" borderId="0" applyFont="0" applyFill="0" applyBorder="0" applyAlignment="0" applyProtection="0"/>
    <xf numFmtId="165" fontId="20" fillId="0" borderId="0" applyFont="0" applyFill="0" applyBorder="0" applyAlignment="0" applyProtection="0"/>
    <xf numFmtId="0" fontId="4" fillId="0" borderId="0"/>
    <xf numFmtId="9" fontId="4" fillId="0" borderId="0" applyFont="0" applyFill="0" applyBorder="0" applyAlignment="0" applyProtection="0"/>
    <xf numFmtId="0" fontId="43" fillId="3" borderId="13" applyNumberFormat="0" applyAlignment="0" applyProtection="0"/>
    <xf numFmtId="0" fontId="19" fillId="0" borderId="14" applyNumberFormat="0" applyFill="0" applyAlignment="0" applyProtection="0"/>
    <xf numFmtId="0" fontId="18" fillId="7" borderId="16" applyNumberFormat="0" applyAlignment="0" applyProtection="0"/>
    <xf numFmtId="0" fontId="3" fillId="0" borderId="0"/>
    <xf numFmtId="0" fontId="2" fillId="0" borderId="0"/>
    <xf numFmtId="0" fontId="51" fillId="8" borderId="26" applyNumberFormat="0" applyFont="0" applyAlignment="0" applyProtection="0"/>
    <xf numFmtId="0" fontId="52" fillId="0" borderId="0" applyNumberFormat="0" applyFill="0" applyBorder="0" applyAlignment="0" applyProtection="0"/>
    <xf numFmtId="0" fontId="14" fillId="0" borderId="0" applyNumberFormat="0" applyFill="0" applyBorder="0" applyAlignment="0" applyProtection="0"/>
    <xf numFmtId="0" fontId="55" fillId="9" borderId="0" applyNumberFormat="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20" fillId="8" borderId="26" applyNumberFormat="0" applyFont="0" applyAlignment="0" applyProtection="0"/>
  </cellStyleXfs>
  <cellXfs count="930">
    <xf numFmtId="0" fontId="0" fillId="0" borderId="0" xfId="0"/>
    <xf numFmtId="0" fontId="21" fillId="0" borderId="0" xfId="0" applyFont="1" applyAlignment="1">
      <alignment horizontal="left" vertical="center" wrapText="1"/>
    </xf>
    <xf numFmtId="0" fontId="24" fillId="0" borderId="0" xfId="12" applyAlignment="1" applyProtection="1"/>
    <xf numFmtId="0" fontId="21" fillId="0" borderId="0" xfId="0" applyFont="1" applyAlignment="1">
      <alignment horizontal="center" vertical="center"/>
    </xf>
    <xf numFmtId="167" fontId="19" fillId="0" borderId="14" xfId="104" applyNumberFormat="1" applyFill="1" applyAlignment="1" applyProtection="1">
      <alignment vertical="center"/>
    </xf>
    <xf numFmtId="166" fontId="20" fillId="11" borderId="6" xfId="93" applyNumberFormat="1" applyFont="1" applyFill="1" applyBorder="1" applyAlignment="1" applyProtection="1">
      <alignment horizontal="left" vertical="center" wrapText="1"/>
    </xf>
    <xf numFmtId="166" fontId="20" fillId="11" borderId="6" xfId="113" applyNumberFormat="1" applyFont="1" applyFill="1" applyBorder="1" applyAlignment="1" applyProtection="1">
      <alignment horizontal="left" vertical="center" wrapText="1"/>
    </xf>
    <xf numFmtId="44" fontId="20" fillId="11" borderId="6" xfId="113" applyFont="1" applyFill="1" applyBorder="1" applyAlignment="1" applyProtection="1">
      <alignment horizontal="left" vertical="center" wrapText="1"/>
    </xf>
    <xf numFmtId="164" fontId="20" fillId="11" borderId="6" xfId="93" applyFont="1" applyFill="1" applyBorder="1" applyAlignment="1" applyProtection="1">
      <alignment horizontal="left" vertical="center" wrapText="1"/>
    </xf>
    <xf numFmtId="164" fontId="31" fillId="11" borderId="6" xfId="111" applyNumberFormat="1" applyFont="1" applyFill="1" applyBorder="1" applyAlignment="1" applyProtection="1">
      <alignment horizontal="left" vertical="center" wrapText="1"/>
    </xf>
    <xf numFmtId="0" fontId="31" fillId="11" borderId="6" xfId="111" applyFont="1" applyFill="1" applyBorder="1" applyAlignment="1" applyProtection="1">
      <alignment vertical="center" wrapText="1"/>
    </xf>
    <xf numFmtId="0" fontId="31" fillId="11" borderId="6" xfId="111" applyFont="1" applyFill="1" applyBorder="1" applyAlignment="1" applyProtection="1">
      <alignment horizontal="center" vertical="center" wrapText="1"/>
    </xf>
    <xf numFmtId="166" fontId="20" fillId="0" borderId="6" xfId="113" applyNumberFormat="1" applyFont="1" applyFill="1" applyBorder="1" applyAlignment="1" applyProtection="1">
      <alignment horizontal="left" vertical="center" wrapText="1"/>
    </xf>
    <xf numFmtId="167" fontId="20" fillId="0" borderId="6" xfId="113" applyNumberFormat="1" applyFont="1" applyFill="1" applyBorder="1" applyAlignment="1" applyProtection="1">
      <alignment horizontal="left" vertical="center" wrapText="1"/>
    </xf>
    <xf numFmtId="44" fontId="20" fillId="0" borderId="6" xfId="113" applyFont="1" applyFill="1" applyBorder="1" applyAlignment="1" applyProtection="1">
      <alignment horizontal="left" vertical="center" wrapText="1"/>
    </xf>
    <xf numFmtId="0" fontId="24" fillId="0" borderId="0" xfId="12" applyAlignment="1" applyProtection="1">
      <alignment vertical="center"/>
    </xf>
    <xf numFmtId="0" fontId="13" fillId="0" borderId="0" xfId="2" applyBorder="1" applyAlignment="1" applyProtection="1">
      <alignment vertical="center"/>
    </xf>
    <xf numFmtId="0" fontId="40" fillId="8" borderId="26" xfId="108" applyFont="1" applyAlignment="1" applyProtection="1">
      <alignment horizontal="left" vertical="center"/>
      <protection hidden="1"/>
    </xf>
    <xf numFmtId="0" fontId="40" fillId="0" borderId="15" xfId="2" applyFont="1" applyFill="1" applyBorder="1" applyAlignment="1" applyProtection="1">
      <alignment horizontal="left" vertical="center"/>
      <protection hidden="1"/>
    </xf>
    <xf numFmtId="0" fontId="14" fillId="0" borderId="0" xfId="3" applyBorder="1" applyAlignment="1" applyProtection="1">
      <alignment horizontal="center" vertical="center"/>
    </xf>
    <xf numFmtId="167" fontId="43" fillId="3" borderId="13" xfId="103" applyNumberFormat="1" applyAlignment="1" applyProtection="1">
      <alignment vertical="center"/>
    </xf>
    <xf numFmtId="164" fontId="17" fillId="0" borderId="4" xfId="1" applyFont="1" applyBorder="1" applyAlignment="1" applyProtection="1">
      <alignment vertical="center"/>
    </xf>
    <xf numFmtId="168" fontId="30" fillId="3" borderId="3" xfId="5" applyNumberFormat="1" applyFont="1" applyAlignment="1" applyProtection="1">
      <alignment vertical="center"/>
    </xf>
    <xf numFmtId="164" fontId="17" fillId="0" borderId="4" xfId="6" applyNumberFormat="1" applyFill="1" applyAlignment="1" applyProtection="1">
      <alignment vertical="center"/>
    </xf>
    <xf numFmtId="167" fontId="17" fillId="0" borderId="4" xfId="6" applyNumberFormat="1" applyFill="1" applyAlignment="1" applyProtection="1">
      <alignment vertical="center"/>
    </xf>
    <xf numFmtId="164" fontId="17" fillId="0" borderId="4" xfId="1" applyFont="1" applyFill="1" applyBorder="1" applyAlignment="1" applyProtection="1">
      <alignment vertical="center"/>
    </xf>
    <xf numFmtId="0" fontId="24" fillId="0" borderId="64" xfId="12" applyFill="1" applyBorder="1" applyAlignment="1" applyProtection="1">
      <alignment vertical="center"/>
    </xf>
    <xf numFmtId="0" fontId="21" fillId="8" borderId="26" xfId="108" applyFont="1" applyAlignment="1">
      <alignment horizontal="left" vertical="center" wrapText="1"/>
    </xf>
    <xf numFmtId="0" fontId="21" fillId="0" borderId="0" xfId="0" applyFont="1" applyAlignment="1">
      <alignment vertical="center"/>
    </xf>
    <xf numFmtId="175" fontId="30" fillId="3" borderId="3" xfId="5" applyNumberFormat="1" applyFont="1" applyAlignment="1" applyProtection="1">
      <alignment vertical="center"/>
    </xf>
    <xf numFmtId="0" fontId="29" fillId="0" borderId="0" xfId="2" applyFont="1" applyFill="1" applyBorder="1" applyAlignment="1" applyProtection="1">
      <alignment horizontal="left" vertical="center"/>
      <protection hidden="1"/>
    </xf>
    <xf numFmtId="0" fontId="45" fillId="0" borderId="0" xfId="2" applyFont="1" applyFill="1" applyBorder="1" applyAlignment="1" applyProtection="1">
      <alignment horizontal="left" vertical="center"/>
      <protection hidden="1"/>
    </xf>
    <xf numFmtId="0" fontId="30" fillId="0" borderId="0" xfId="3" applyFont="1" applyBorder="1" applyAlignment="1" applyProtection="1">
      <alignment horizontal="center" vertical="center"/>
    </xf>
    <xf numFmtId="170" fontId="43" fillId="3" borderId="13" xfId="103" applyNumberFormat="1" applyAlignment="1" applyProtection="1">
      <alignment vertical="center"/>
    </xf>
    <xf numFmtId="169" fontId="43" fillId="3" borderId="13" xfId="103" applyNumberFormat="1" applyAlignment="1" applyProtection="1">
      <alignment vertical="center"/>
    </xf>
    <xf numFmtId="171" fontId="43" fillId="3" borderId="13" xfId="103" applyNumberFormat="1" applyAlignment="1" applyProtection="1">
      <alignment vertical="center"/>
    </xf>
    <xf numFmtId="4" fontId="20" fillId="0" borderId="0" xfId="39" applyNumberFormat="1" applyAlignment="1" applyProtection="1">
      <alignment horizontal="center" vertical="center" wrapText="1"/>
      <protection hidden="1"/>
    </xf>
    <xf numFmtId="0" fontId="20" fillId="0" borderId="0" xfId="39" applyAlignment="1" applyProtection="1">
      <alignment vertical="center" wrapText="1"/>
      <protection hidden="1"/>
    </xf>
    <xf numFmtId="176" fontId="20" fillId="0" borderId="0" xfId="39" applyNumberFormat="1" applyAlignment="1" applyProtection="1">
      <alignment horizontal="center" vertical="center" wrapText="1"/>
      <protection hidden="1"/>
    </xf>
    <xf numFmtId="2" fontId="20" fillId="0" borderId="0" xfId="39" applyNumberFormat="1" applyAlignment="1" applyProtection="1">
      <alignment vertical="center" wrapText="1"/>
      <protection hidden="1"/>
    </xf>
    <xf numFmtId="0" fontId="20" fillId="0" borderId="0" xfId="39" applyAlignment="1" applyProtection="1">
      <alignment horizontal="center" vertical="center" wrapText="1"/>
      <protection hidden="1"/>
    </xf>
    <xf numFmtId="49" fontId="20" fillId="0" borderId="0" xfId="39" applyNumberFormat="1" applyAlignment="1" applyProtection="1">
      <alignment vertical="center" wrapText="1"/>
      <protection hidden="1"/>
    </xf>
    <xf numFmtId="0" fontId="80" fillId="0" borderId="0" xfId="109" applyFont="1" applyAlignment="1">
      <alignment horizontal="right" vertical="center"/>
    </xf>
    <xf numFmtId="0" fontId="78" fillId="6" borderId="2" xfId="3" applyFont="1" applyFill="1" applyAlignment="1">
      <alignment horizontal="center" vertical="center" wrapText="1"/>
    </xf>
    <xf numFmtId="0" fontId="21" fillId="8" borderId="27" xfId="108" applyFont="1" applyBorder="1" applyAlignment="1">
      <alignment vertical="center" wrapText="1"/>
    </xf>
    <xf numFmtId="0" fontId="21" fillId="8" borderId="57" xfId="108" applyFont="1" applyBorder="1" applyAlignment="1">
      <alignment horizontal="left" vertical="center"/>
    </xf>
    <xf numFmtId="0" fontId="21" fillId="8" borderId="59" xfId="108" applyFont="1" applyBorder="1" applyAlignment="1">
      <alignment horizontal="left" vertical="center"/>
    </xf>
    <xf numFmtId="0" fontId="21" fillId="8" borderId="27" xfId="108" applyFont="1" applyBorder="1" applyAlignment="1">
      <alignment horizontal="left" vertical="center"/>
    </xf>
    <xf numFmtId="0" fontId="21" fillId="8" borderId="26" xfId="108" applyFont="1" applyAlignment="1">
      <alignment horizontal="left" vertical="center"/>
    </xf>
    <xf numFmtId="0" fontId="21" fillId="8" borderId="26" xfId="108" applyFont="1" applyAlignment="1">
      <alignment vertical="center"/>
    </xf>
    <xf numFmtId="0" fontId="21" fillId="8" borderId="71" xfId="108" applyFont="1" applyBorder="1" applyAlignment="1">
      <alignment horizontal="left" vertical="center"/>
    </xf>
    <xf numFmtId="0" fontId="21" fillId="8" borderId="67" xfId="108" applyFont="1" applyBorder="1" applyAlignment="1">
      <alignment horizontal="left" vertical="center"/>
    </xf>
    <xf numFmtId="0" fontId="21" fillId="8" borderId="66" xfId="108" applyFont="1" applyBorder="1" applyAlignment="1">
      <alignment horizontal="left" vertical="center"/>
    </xf>
    <xf numFmtId="0" fontId="21" fillId="8" borderId="73" xfId="108" applyFont="1" applyBorder="1" applyAlignment="1">
      <alignment horizontal="left" vertical="center"/>
    </xf>
    <xf numFmtId="164" fontId="21" fillId="15" borderId="6" xfId="1" applyFont="1" applyFill="1" applyBorder="1" applyAlignment="1">
      <alignment horizontal="center" vertical="center"/>
    </xf>
    <xf numFmtId="0" fontId="21" fillId="8" borderId="27" xfId="108" applyFont="1" applyBorder="1" applyAlignment="1">
      <alignment vertical="center"/>
    </xf>
    <xf numFmtId="0" fontId="21" fillId="8" borderId="72" xfId="108" applyFont="1" applyBorder="1" applyAlignment="1">
      <alignment horizontal="left" vertical="center"/>
    </xf>
    <xf numFmtId="165" fontId="21" fillId="0" borderId="6" xfId="47" applyFont="1" applyBorder="1" applyAlignment="1">
      <alignment horizontal="center" vertical="center"/>
    </xf>
    <xf numFmtId="168" fontId="21" fillId="0" borderId="6" xfId="47" applyNumberFormat="1" applyFont="1" applyBorder="1" applyAlignment="1">
      <alignment horizontal="center" vertical="center"/>
    </xf>
    <xf numFmtId="0" fontId="21" fillId="8" borderId="55" xfId="108" applyFont="1" applyBorder="1" applyAlignment="1">
      <alignment horizontal="left" vertical="center"/>
    </xf>
    <xf numFmtId="0" fontId="21" fillId="8" borderId="70" xfId="108" applyFont="1" applyBorder="1" applyAlignment="1">
      <alignment horizontal="left" vertical="center"/>
    </xf>
    <xf numFmtId="0" fontId="82" fillId="6" borderId="0" xfId="108" applyFont="1" applyFill="1" applyBorder="1" applyAlignment="1">
      <alignment horizontal="right" vertical="center"/>
    </xf>
    <xf numFmtId="0" fontId="82" fillId="6" borderId="0" xfId="0" applyFont="1" applyFill="1" applyAlignment="1">
      <alignment vertical="center"/>
    </xf>
    <xf numFmtId="0" fontId="21" fillId="6" borderId="0" xfId="0" applyFont="1" applyFill="1" applyAlignment="1">
      <alignment horizontal="center" vertical="center"/>
    </xf>
    <xf numFmtId="167" fontId="78" fillId="6" borderId="14" xfId="104" applyNumberFormat="1" applyFont="1" applyFill="1" applyAlignment="1">
      <alignment vertical="center"/>
    </xf>
    <xf numFmtId="0" fontId="21" fillId="8" borderId="73" xfId="108" applyFont="1" applyBorder="1" applyAlignment="1">
      <alignment vertical="center"/>
    </xf>
    <xf numFmtId="0" fontId="21" fillId="6" borderId="27" xfId="108" applyFont="1" applyFill="1" applyBorder="1" applyAlignment="1">
      <alignment horizontal="left" vertical="center"/>
    </xf>
    <xf numFmtId="0" fontId="82" fillId="6" borderId="27" xfId="108" applyFont="1" applyFill="1" applyBorder="1" applyAlignment="1">
      <alignment horizontal="right" vertical="center"/>
    </xf>
    <xf numFmtId="0" fontId="21" fillId="8" borderId="67" xfId="108" applyFont="1" applyBorder="1" applyAlignment="1">
      <alignment vertical="center"/>
    </xf>
    <xf numFmtId="0" fontId="21" fillId="8" borderId="59" xfId="108" applyFont="1" applyBorder="1" applyAlignment="1">
      <alignment vertical="center"/>
    </xf>
    <xf numFmtId="2" fontId="21" fillId="0" borderId="6" xfId="0" applyNumberFormat="1" applyFont="1" applyBorder="1" applyAlignment="1">
      <alignment horizontal="center" vertical="center"/>
    </xf>
    <xf numFmtId="166" fontId="81" fillId="3" borderId="13" xfId="103" applyNumberFormat="1" applyFont="1" applyAlignment="1">
      <alignment vertical="center"/>
    </xf>
    <xf numFmtId="0" fontId="21" fillId="6" borderId="0" xfId="0" applyFont="1" applyFill="1" applyAlignment="1">
      <alignment vertical="center"/>
    </xf>
    <xf numFmtId="167" fontId="81" fillId="3" borderId="13" xfId="103" applyNumberFormat="1" applyFont="1" applyAlignment="1">
      <alignment horizontal="center" vertical="center"/>
    </xf>
    <xf numFmtId="167" fontId="81" fillId="3" borderId="44" xfId="1" applyNumberFormat="1" applyFont="1" applyFill="1" applyBorder="1" applyAlignment="1">
      <alignment horizontal="center" vertical="center"/>
    </xf>
    <xf numFmtId="0" fontId="21" fillId="8" borderId="71" xfId="108" applyFont="1" applyBorder="1" applyAlignment="1">
      <alignment vertical="center"/>
    </xf>
    <xf numFmtId="0" fontId="21" fillId="8" borderId="66" xfId="108" applyFont="1" applyBorder="1" applyAlignment="1">
      <alignment vertical="center"/>
    </xf>
    <xf numFmtId="0" fontId="21" fillId="8" borderId="72" xfId="108" applyFont="1" applyBorder="1" applyAlignment="1">
      <alignment vertical="center"/>
    </xf>
    <xf numFmtId="2" fontId="21" fillId="0" borderId="6" xfId="47" applyNumberFormat="1" applyFont="1" applyBorder="1" applyAlignment="1">
      <alignment horizontal="center" vertical="center"/>
    </xf>
    <xf numFmtId="167" fontId="81" fillId="3" borderId="6" xfId="103" applyNumberFormat="1" applyFont="1" applyBorder="1" applyAlignment="1">
      <alignment vertical="center"/>
    </xf>
    <xf numFmtId="167" fontId="78" fillId="6" borderId="45" xfId="104" applyNumberFormat="1" applyFont="1" applyFill="1" applyBorder="1" applyAlignment="1">
      <alignment vertical="center"/>
    </xf>
    <xf numFmtId="0" fontId="78" fillId="6" borderId="30" xfId="0" applyFont="1" applyFill="1" applyBorder="1" applyAlignment="1">
      <alignment horizontal="left" vertical="center"/>
    </xf>
    <xf numFmtId="0" fontId="21" fillId="8" borderId="26" xfId="108" applyFont="1" applyAlignment="1">
      <alignment vertical="center" wrapText="1"/>
    </xf>
    <xf numFmtId="167" fontId="84" fillId="6" borderId="45" xfId="104" applyNumberFormat="1" applyFont="1" applyFill="1" applyBorder="1" applyAlignment="1">
      <alignment vertical="center"/>
    </xf>
    <xf numFmtId="0" fontId="21" fillId="8" borderId="57" xfId="108" applyFont="1" applyBorder="1" applyAlignment="1">
      <alignment horizontal="left" vertical="center" wrapText="1"/>
    </xf>
    <xf numFmtId="167" fontId="85" fillId="3" borderId="13" xfId="103" applyNumberFormat="1" applyFont="1" applyAlignment="1">
      <alignment vertical="center"/>
    </xf>
    <xf numFmtId="0" fontId="21" fillId="8" borderId="55" xfId="108" applyFont="1" applyBorder="1" applyAlignment="1">
      <alignment horizontal="left" vertical="center" wrapText="1"/>
    </xf>
    <xf numFmtId="0" fontId="21" fillId="8" borderId="70" xfId="108" applyFont="1" applyBorder="1" applyAlignment="1">
      <alignment horizontal="left" vertical="center" wrapText="1"/>
    </xf>
    <xf numFmtId="0" fontId="21" fillId="8" borderId="55" xfId="108" applyFont="1" applyBorder="1" applyAlignment="1">
      <alignment vertical="center"/>
    </xf>
    <xf numFmtId="0" fontId="21" fillId="8" borderId="70" xfId="108" applyFont="1" applyBorder="1" applyAlignment="1">
      <alignment vertical="center"/>
    </xf>
    <xf numFmtId="0" fontId="21" fillId="8" borderId="57" xfId="108" applyFont="1" applyBorder="1" applyAlignment="1">
      <alignment vertical="center"/>
    </xf>
    <xf numFmtId="167" fontId="84" fillId="6" borderId="14" xfId="104" applyNumberFormat="1" applyFont="1" applyFill="1" applyAlignment="1">
      <alignment vertical="center"/>
    </xf>
    <xf numFmtId="167" fontId="21" fillId="15" borderId="6" xfId="1" applyNumberFormat="1" applyFont="1" applyFill="1" applyBorder="1" applyAlignment="1">
      <alignment horizontal="center" vertical="center"/>
    </xf>
    <xf numFmtId="166" fontId="85" fillId="3" borderId="13" xfId="103" applyNumberFormat="1" applyFont="1" applyAlignment="1">
      <alignment vertical="center"/>
    </xf>
    <xf numFmtId="0" fontId="82" fillId="0" borderId="0" xfId="0" applyFont="1" applyAlignment="1">
      <alignment horizontal="center" vertical="center"/>
    </xf>
    <xf numFmtId="167" fontId="85" fillId="3" borderId="13" xfId="103" applyNumberFormat="1" applyFont="1" applyAlignment="1">
      <alignment horizontal="center" vertical="center"/>
    </xf>
    <xf numFmtId="0" fontId="82" fillId="6" borderId="31" xfId="108" applyFont="1" applyFill="1" applyBorder="1" applyAlignment="1">
      <alignment horizontal="right" vertical="center"/>
    </xf>
    <xf numFmtId="167" fontId="82" fillId="6" borderId="0" xfId="0" applyNumberFormat="1" applyFont="1" applyFill="1" applyAlignment="1">
      <alignment horizontal="center" vertical="center"/>
    </xf>
    <xf numFmtId="166" fontId="85" fillId="3" borderId="44" xfId="103" applyNumberFormat="1" applyFont="1" applyBorder="1" applyAlignment="1">
      <alignment vertical="center"/>
    </xf>
    <xf numFmtId="167" fontId="85" fillId="3" borderId="36" xfId="1" applyNumberFormat="1" applyFont="1" applyFill="1" applyBorder="1" applyAlignment="1">
      <alignment horizontal="center" vertical="center"/>
    </xf>
    <xf numFmtId="167" fontId="85" fillId="3" borderId="36" xfId="103" applyNumberFormat="1" applyFont="1" applyBorder="1" applyAlignment="1">
      <alignment horizontal="center" vertical="center"/>
    </xf>
    <xf numFmtId="164" fontId="21" fillId="0" borderId="6" xfId="1" applyFont="1" applyBorder="1" applyAlignment="1">
      <alignment horizontal="center" vertical="center"/>
    </xf>
    <xf numFmtId="167" fontId="85" fillId="3" borderId="44" xfId="103" applyNumberFormat="1" applyFont="1" applyBorder="1" applyAlignment="1">
      <alignment vertical="center"/>
    </xf>
    <xf numFmtId="0" fontId="59" fillId="0" borderId="0" xfId="0" applyFont="1" applyAlignment="1">
      <alignment horizontal="center" vertical="center" wrapText="1"/>
    </xf>
    <xf numFmtId="0" fontId="78" fillId="6" borderId="26" xfId="108" applyFont="1" applyFill="1" applyAlignment="1">
      <alignment horizontal="left" vertical="center"/>
    </xf>
    <xf numFmtId="1" fontId="21" fillId="0" borderId="6" xfId="0" applyNumberFormat="1" applyFont="1" applyBorder="1" applyAlignment="1">
      <alignment horizontal="center" vertical="center"/>
    </xf>
    <xf numFmtId="0" fontId="82" fillId="19" borderId="27" xfId="108" applyFont="1" applyFill="1" applyBorder="1" applyAlignment="1">
      <alignment horizontal="right" vertical="center"/>
    </xf>
    <xf numFmtId="0" fontId="82" fillId="19" borderId="0" xfId="0" applyFont="1" applyFill="1" applyAlignment="1">
      <alignment vertical="center"/>
    </xf>
    <xf numFmtId="167" fontId="82" fillId="19" borderId="0" xfId="1" applyNumberFormat="1" applyFont="1" applyFill="1" applyAlignment="1">
      <alignment horizontal="center" vertical="center"/>
    </xf>
    <xf numFmtId="164" fontId="21" fillId="0" borderId="6" xfId="1" applyFont="1" applyBorder="1" applyAlignment="1">
      <alignment vertical="center"/>
    </xf>
    <xf numFmtId="2" fontId="36" fillId="0" borderId="6" xfId="0" applyNumberFormat="1" applyFont="1" applyBorder="1" applyAlignment="1">
      <alignment horizontal="center" vertical="center"/>
    </xf>
    <xf numFmtId="176" fontId="21" fillId="0" borderId="6" xfId="0" applyNumberFormat="1" applyFont="1" applyBorder="1" applyAlignment="1">
      <alignment horizontal="center" vertical="center"/>
    </xf>
    <xf numFmtId="171" fontId="21" fillId="0" borderId="6" xfId="0" applyNumberFormat="1" applyFont="1" applyBorder="1" applyAlignment="1">
      <alignment horizontal="center" vertical="center"/>
    </xf>
    <xf numFmtId="164" fontId="21" fillId="15" borderId="0" xfId="1" applyFont="1" applyFill="1" applyAlignment="1">
      <alignment horizontal="center" vertical="center"/>
    </xf>
    <xf numFmtId="0" fontId="82" fillId="6" borderId="27" xfId="108" applyFont="1" applyFill="1" applyBorder="1" applyAlignment="1">
      <alignment horizontal="left" vertical="center"/>
    </xf>
    <xf numFmtId="0" fontId="82" fillId="6" borderId="26" xfId="108" applyFont="1" applyFill="1" applyAlignment="1">
      <alignment horizontal="left" vertical="center"/>
    </xf>
    <xf numFmtId="0" fontId="82" fillId="6" borderId="0" xfId="0" applyFont="1" applyFill="1" applyAlignment="1">
      <alignment horizontal="left" vertical="center"/>
    </xf>
    <xf numFmtId="167" fontId="85" fillId="3" borderId="13" xfId="1" applyNumberFormat="1" applyFont="1" applyFill="1" applyBorder="1" applyAlignment="1">
      <alignment vertical="center"/>
    </xf>
    <xf numFmtId="0" fontId="21" fillId="8" borderId="67" xfId="108" applyFont="1" applyBorder="1" applyAlignment="1">
      <alignment horizontal="left" vertical="top"/>
    </xf>
    <xf numFmtId="0" fontId="21" fillId="8" borderId="67" xfId="108" applyFont="1" applyBorder="1" applyAlignment="1">
      <alignment vertical="top"/>
    </xf>
    <xf numFmtId="0" fontId="82" fillId="6" borderId="67" xfId="108" applyFont="1" applyFill="1" applyBorder="1" applyAlignment="1">
      <alignment horizontal="left" vertical="center"/>
    </xf>
    <xf numFmtId="0" fontId="21" fillId="8" borderId="27" xfId="108" applyFont="1" applyBorder="1" applyAlignment="1">
      <alignment horizontal="left" vertical="center" wrapText="1"/>
    </xf>
    <xf numFmtId="167" fontId="85" fillId="3" borderId="13" xfId="1" applyNumberFormat="1" applyFont="1" applyFill="1" applyBorder="1" applyAlignment="1">
      <alignment horizontal="center" vertical="center"/>
    </xf>
    <xf numFmtId="167" fontId="85" fillId="3" borderId="44" xfId="1" applyNumberFormat="1" applyFont="1" applyFill="1" applyBorder="1" applyAlignment="1">
      <alignment horizontal="center" vertical="center"/>
    </xf>
    <xf numFmtId="167" fontId="85" fillId="3" borderId="44" xfId="1" applyNumberFormat="1" applyFont="1" applyFill="1" applyBorder="1" applyAlignment="1">
      <alignment vertical="center"/>
    </xf>
    <xf numFmtId="0" fontId="21" fillId="0" borderId="0" xfId="0" applyFont="1" applyAlignment="1">
      <alignment vertical="center" wrapText="1"/>
    </xf>
    <xf numFmtId="167" fontId="81" fillId="3" borderId="13" xfId="103" applyNumberFormat="1" applyFont="1" applyAlignment="1">
      <alignment vertical="center"/>
    </xf>
    <xf numFmtId="166" fontId="81" fillId="3" borderId="44" xfId="103" applyNumberFormat="1" applyFont="1" applyBorder="1" applyAlignment="1">
      <alignment vertical="center"/>
    </xf>
    <xf numFmtId="167" fontId="81" fillId="3" borderId="36" xfId="1" applyNumberFormat="1" applyFont="1" applyFill="1" applyBorder="1" applyAlignment="1">
      <alignment horizontal="center" vertical="center"/>
    </xf>
    <xf numFmtId="167" fontId="81" fillId="3" borderId="36" xfId="103" applyNumberFormat="1" applyFont="1" applyBorder="1" applyAlignment="1">
      <alignment horizontal="center" vertical="center"/>
    </xf>
    <xf numFmtId="167" fontId="81" fillId="3" borderId="44" xfId="103" applyNumberFormat="1" applyFont="1" applyBorder="1" applyAlignment="1">
      <alignment vertical="center"/>
    </xf>
    <xf numFmtId="0" fontId="80" fillId="0" borderId="0" xfId="109" applyFont="1" applyAlignment="1">
      <alignment vertical="center"/>
    </xf>
    <xf numFmtId="166" fontId="81" fillId="3" borderId="6" xfId="103" applyNumberFormat="1" applyFont="1" applyBorder="1" applyAlignment="1">
      <alignment vertical="center"/>
    </xf>
    <xf numFmtId="167" fontId="78" fillId="6" borderId="0" xfId="104" applyNumberFormat="1" applyFont="1" applyFill="1" applyBorder="1" applyAlignment="1">
      <alignment vertical="center"/>
    </xf>
    <xf numFmtId="167" fontId="81" fillId="3" borderId="6" xfId="103" applyNumberFormat="1" applyFont="1" applyBorder="1" applyAlignment="1">
      <alignment horizontal="center" vertical="center"/>
    </xf>
    <xf numFmtId="167" fontId="81" fillId="3" borderId="6" xfId="1" applyNumberFormat="1" applyFont="1" applyFill="1" applyBorder="1" applyAlignment="1">
      <alignment horizontal="center" vertical="center"/>
    </xf>
    <xf numFmtId="164" fontId="81" fillId="3" borderId="13" xfId="103" applyNumberFormat="1" applyFont="1" applyAlignment="1">
      <alignment horizontal="center" vertical="center"/>
    </xf>
    <xf numFmtId="164" fontId="81" fillId="3" borderId="36" xfId="103" applyNumberFormat="1" applyFont="1" applyBorder="1" applyAlignment="1">
      <alignment horizontal="center" vertical="center"/>
    </xf>
    <xf numFmtId="0" fontId="49" fillId="0" borderId="2" xfId="3" applyFont="1" applyAlignment="1">
      <alignment horizontal="center" vertical="center"/>
    </xf>
    <xf numFmtId="167" fontId="85" fillId="3" borderId="44" xfId="103" applyNumberFormat="1" applyFont="1" applyBorder="1" applyAlignment="1">
      <alignment horizontal="center" vertical="center"/>
    </xf>
    <xf numFmtId="167" fontId="85" fillId="3" borderId="36" xfId="1" applyNumberFormat="1" applyFont="1" applyFill="1" applyBorder="1" applyAlignment="1">
      <alignment vertical="center"/>
    </xf>
    <xf numFmtId="168" fontId="21" fillId="0" borderId="6" xfId="0" applyNumberFormat="1" applyFont="1" applyBorder="1" applyAlignment="1">
      <alignment horizontal="center" vertical="center"/>
    </xf>
    <xf numFmtId="173" fontId="21" fillId="0" borderId="6" xfId="0" applyNumberFormat="1" applyFont="1" applyBorder="1" applyAlignment="1">
      <alignment horizontal="center" vertical="center"/>
    </xf>
    <xf numFmtId="0" fontId="82" fillId="6" borderId="3" xfId="4" applyFont="1" applyFill="1" applyAlignment="1">
      <alignment horizontal="center" vertical="center"/>
    </xf>
    <xf numFmtId="0" fontId="78" fillId="6" borderId="85" xfId="3" applyFont="1" applyFill="1" applyBorder="1" applyAlignment="1">
      <alignment horizontal="center" vertical="center" wrapText="1"/>
    </xf>
    <xf numFmtId="0" fontId="36" fillId="0" borderId="0" xfId="2" applyFont="1" applyBorder="1" applyAlignment="1">
      <alignment vertical="center"/>
    </xf>
    <xf numFmtId="9" fontId="82" fillId="7" borderId="16" xfId="33" applyFont="1" applyFill="1" applyBorder="1" applyAlignment="1">
      <alignment horizontal="center" vertical="center" wrapText="1"/>
    </xf>
    <xf numFmtId="167" fontId="81" fillId="3" borderId="13" xfId="1" applyNumberFormat="1" applyFont="1" applyFill="1" applyBorder="1" applyAlignment="1">
      <alignment vertical="center"/>
    </xf>
    <xf numFmtId="167" fontId="81" fillId="3" borderId="13" xfId="1" applyNumberFormat="1" applyFont="1" applyFill="1" applyBorder="1" applyAlignment="1">
      <alignment horizontal="center" vertical="center"/>
    </xf>
    <xf numFmtId="0" fontId="21" fillId="8" borderId="84" xfId="108" applyFont="1" applyBorder="1" applyAlignment="1">
      <alignment horizontal="left" vertical="center"/>
    </xf>
    <xf numFmtId="0" fontId="80" fillId="8" borderId="27" xfId="109" applyFont="1" applyFill="1" applyBorder="1" applyAlignment="1">
      <alignment vertical="center"/>
    </xf>
    <xf numFmtId="167" fontId="81" fillId="3" borderId="44" xfId="1" applyNumberFormat="1" applyFont="1" applyFill="1" applyBorder="1" applyAlignment="1">
      <alignment vertical="center"/>
    </xf>
    <xf numFmtId="167" fontId="78" fillId="6" borderId="58" xfId="104" applyNumberFormat="1" applyFont="1" applyFill="1" applyBorder="1" applyAlignment="1">
      <alignment vertical="center"/>
    </xf>
    <xf numFmtId="164" fontId="81" fillId="3" borderId="44" xfId="103" applyNumberFormat="1" applyFont="1" applyBorder="1" applyAlignment="1">
      <alignment horizontal="center" vertical="center"/>
    </xf>
    <xf numFmtId="0" fontId="82" fillId="0" borderId="0" xfId="0" applyFont="1" applyAlignment="1">
      <alignment vertical="center"/>
    </xf>
    <xf numFmtId="0" fontId="82" fillId="6" borderId="49" xfId="108" applyFont="1" applyFill="1" applyBorder="1" applyAlignment="1">
      <alignment horizontal="right" vertical="center"/>
    </xf>
    <xf numFmtId="0" fontId="36" fillId="8" borderId="54" xfId="108" applyFont="1" applyBorder="1" applyAlignment="1">
      <alignment horizontal="left" vertical="top"/>
    </xf>
    <xf numFmtId="0" fontId="21" fillId="8" borderId="59" xfId="108" applyFont="1" applyBorder="1" applyAlignment="1">
      <alignment vertical="top"/>
    </xf>
    <xf numFmtId="0" fontId="21" fillId="6" borderId="84" xfId="108" applyFont="1" applyFill="1" applyBorder="1" applyAlignment="1">
      <alignment horizontal="left" vertical="center"/>
    </xf>
    <xf numFmtId="0" fontId="36" fillId="8" borderId="71" xfId="108" applyFont="1" applyBorder="1" applyAlignment="1">
      <alignment horizontal="left" vertical="center"/>
    </xf>
    <xf numFmtId="0" fontId="21" fillId="8" borderId="73" xfId="108" applyFont="1" applyBorder="1" applyAlignment="1">
      <alignment vertical="top"/>
    </xf>
    <xf numFmtId="0" fontId="21" fillId="8" borderId="71" xfId="108" applyFont="1" applyBorder="1" applyAlignment="1">
      <alignment vertical="top"/>
    </xf>
    <xf numFmtId="0" fontId="21" fillId="8" borderId="66" xfId="108" applyFont="1" applyBorder="1" applyAlignment="1">
      <alignment vertical="top"/>
    </xf>
    <xf numFmtId="0" fontId="21" fillId="8" borderId="72" xfId="108" applyFont="1" applyBorder="1" applyAlignment="1">
      <alignment vertical="top"/>
    </xf>
    <xf numFmtId="0" fontId="82" fillId="19" borderId="55" xfId="108" applyFont="1" applyFill="1" applyBorder="1" applyAlignment="1">
      <alignment vertical="center" wrapText="1"/>
    </xf>
    <xf numFmtId="0" fontId="82" fillId="19" borderId="56" xfId="108" applyFont="1" applyFill="1" applyBorder="1" applyAlignment="1">
      <alignment vertical="center" wrapText="1"/>
    </xf>
    <xf numFmtId="0" fontId="82" fillId="19" borderId="57" xfId="108" applyFont="1" applyFill="1" applyBorder="1" applyAlignment="1">
      <alignment vertical="center" wrapText="1"/>
    </xf>
    <xf numFmtId="0" fontId="82" fillId="19" borderId="54" xfId="108" applyFont="1" applyFill="1" applyBorder="1" applyAlignment="1">
      <alignment vertical="center"/>
    </xf>
    <xf numFmtId="0" fontId="82" fillId="19" borderId="55" xfId="108" applyFont="1" applyFill="1" applyBorder="1" applyAlignment="1">
      <alignment vertical="center"/>
    </xf>
    <xf numFmtId="0" fontId="82" fillId="19" borderId="56" xfId="108" applyFont="1" applyFill="1" applyBorder="1" applyAlignment="1">
      <alignment vertical="center"/>
    </xf>
    <xf numFmtId="0" fontId="82" fillId="19" borderId="57" xfId="108" applyFont="1" applyFill="1" applyBorder="1" applyAlignment="1">
      <alignment vertical="center"/>
    </xf>
    <xf numFmtId="0" fontId="78" fillId="6" borderId="84" xfId="108" applyFont="1" applyFill="1" applyBorder="1" applyAlignment="1">
      <alignment horizontal="left" vertical="center"/>
    </xf>
    <xf numFmtId="0" fontId="36" fillId="8" borderId="84" xfId="108" applyFont="1" applyBorder="1" applyAlignment="1">
      <alignment horizontal="left" vertical="center"/>
    </xf>
    <xf numFmtId="0" fontId="36" fillId="8" borderId="71" xfId="108" applyFont="1" applyBorder="1" applyAlignment="1">
      <alignment horizontal="left" vertical="center" wrapText="1"/>
    </xf>
    <xf numFmtId="0" fontId="36" fillId="8" borderId="71" xfId="108" applyFont="1" applyBorder="1" applyAlignment="1">
      <alignment vertical="center"/>
    </xf>
    <xf numFmtId="0" fontId="90" fillId="0" borderId="0" xfId="109" applyFont="1" applyAlignment="1">
      <alignment vertical="center"/>
    </xf>
    <xf numFmtId="0" fontId="21" fillId="8" borderId="26" xfId="108" applyFont="1" applyAlignment="1">
      <alignment vertical="top"/>
    </xf>
    <xf numFmtId="0" fontId="36" fillId="8" borderId="54" xfId="108" applyFont="1" applyBorder="1" applyAlignment="1">
      <alignment vertical="top"/>
    </xf>
    <xf numFmtId="0" fontId="21" fillId="8" borderId="53" xfId="108" applyFont="1" applyBorder="1" applyAlignment="1">
      <alignment vertical="top"/>
    </xf>
    <xf numFmtId="0" fontId="21" fillId="8" borderId="56" xfId="108" applyFont="1" applyBorder="1" applyAlignment="1">
      <alignment vertical="top"/>
    </xf>
    <xf numFmtId="0" fontId="21" fillId="8" borderId="27" xfId="108" applyFont="1" applyBorder="1" applyAlignment="1">
      <alignment vertical="top"/>
    </xf>
    <xf numFmtId="0" fontId="21" fillId="8" borderId="71" xfId="108" applyFont="1" applyBorder="1" applyAlignment="1">
      <alignment horizontal="left" vertical="top"/>
    </xf>
    <xf numFmtId="0" fontId="21" fillId="8" borderId="26" xfId="108" applyFont="1" applyAlignment="1">
      <alignment horizontal="left" vertical="top" wrapText="1"/>
    </xf>
    <xf numFmtId="0" fontId="21" fillId="8" borderId="66" xfId="108" applyFont="1" applyBorder="1" applyAlignment="1">
      <alignment horizontal="left" vertical="top"/>
    </xf>
    <xf numFmtId="0" fontId="21" fillId="8" borderId="26" xfId="108" applyFont="1" applyAlignment="1">
      <alignment horizontal="left" vertical="top"/>
    </xf>
    <xf numFmtId="0" fontId="21" fillId="8" borderId="72" xfId="108" applyFont="1" applyBorder="1" applyAlignment="1">
      <alignment horizontal="left" vertical="top"/>
    </xf>
    <xf numFmtId="0" fontId="21" fillId="8" borderId="27" xfId="108" applyFont="1" applyBorder="1" applyAlignment="1">
      <alignment horizontal="left" vertical="top"/>
    </xf>
    <xf numFmtId="0" fontId="36" fillId="8" borderId="71" xfId="108" applyFont="1" applyBorder="1" applyAlignment="1">
      <alignment horizontal="left" vertical="top"/>
    </xf>
    <xf numFmtId="0" fontId="21" fillId="6" borderId="27" xfId="108" applyFont="1" applyFill="1" applyBorder="1" applyAlignment="1">
      <alignment horizontal="left" vertical="top"/>
    </xf>
    <xf numFmtId="0" fontId="21" fillId="8" borderId="73" xfId="108" applyFont="1" applyBorder="1" applyAlignment="1">
      <alignment horizontal="left" vertical="top"/>
    </xf>
    <xf numFmtId="0" fontId="21" fillId="8" borderId="59" xfId="108" applyFont="1" applyBorder="1" applyAlignment="1">
      <alignment horizontal="left" vertical="top"/>
    </xf>
    <xf numFmtId="0" fontId="21" fillId="8" borderId="84" xfId="108" applyFont="1" applyBorder="1" applyAlignment="1">
      <alignment horizontal="left" vertical="top"/>
    </xf>
    <xf numFmtId="0" fontId="21" fillId="8" borderId="55" xfId="108" applyFont="1" applyBorder="1" applyAlignment="1">
      <alignment horizontal="left" vertical="top"/>
    </xf>
    <xf numFmtId="0" fontId="21" fillId="8" borderId="53" xfId="108" applyFont="1" applyBorder="1" applyAlignment="1">
      <alignment horizontal="left" vertical="top"/>
    </xf>
    <xf numFmtId="0" fontId="21" fillId="8" borderId="70" xfId="108" applyFont="1" applyBorder="1" applyAlignment="1">
      <alignment horizontal="left" vertical="top"/>
    </xf>
    <xf numFmtId="0" fontId="21" fillId="8" borderId="56" xfId="108" applyFont="1" applyBorder="1" applyAlignment="1">
      <alignment horizontal="left" vertical="top"/>
    </xf>
    <xf numFmtId="0" fontId="21" fillId="8" borderId="57" xfId="108" applyFont="1" applyBorder="1" applyAlignment="1">
      <alignment horizontal="left" vertical="top"/>
    </xf>
    <xf numFmtId="0" fontId="21" fillId="6" borderId="54" xfId="108" applyFont="1" applyFill="1" applyBorder="1" applyAlignment="1">
      <alignment horizontal="left" vertical="top"/>
    </xf>
    <xf numFmtId="0" fontId="82" fillId="6" borderId="31" xfId="108" applyFont="1" applyFill="1" applyBorder="1" applyAlignment="1">
      <alignment horizontal="left" vertical="top"/>
    </xf>
    <xf numFmtId="0" fontId="82" fillId="6" borderId="84" xfId="108" applyFont="1" applyFill="1" applyBorder="1" applyAlignment="1">
      <alignment horizontal="left" vertical="center"/>
    </xf>
    <xf numFmtId="0" fontId="21" fillId="6" borderId="84" xfId="108" applyFont="1" applyFill="1" applyBorder="1" applyAlignment="1">
      <alignment horizontal="left" vertical="top"/>
    </xf>
    <xf numFmtId="167" fontId="81" fillId="3" borderId="36" xfId="1" applyNumberFormat="1" applyFont="1" applyFill="1" applyBorder="1" applyAlignment="1">
      <alignment vertical="center"/>
    </xf>
    <xf numFmtId="0" fontId="82" fillId="6" borderId="72" xfId="108" applyFont="1" applyFill="1" applyBorder="1" applyAlignment="1">
      <alignment horizontal="left" vertical="center"/>
    </xf>
    <xf numFmtId="0" fontId="21" fillId="6" borderId="71" xfId="108" applyFont="1" applyFill="1" applyBorder="1" applyAlignment="1">
      <alignment horizontal="left" vertical="center"/>
    </xf>
    <xf numFmtId="0" fontId="21" fillId="8" borderId="59" xfId="108" applyFont="1" applyBorder="1" applyAlignment="1">
      <alignment horizontal="left" vertical="top" wrapText="1"/>
    </xf>
    <xf numFmtId="0" fontId="82" fillId="6" borderId="27" xfId="108" applyFont="1" applyFill="1" applyBorder="1" applyAlignment="1">
      <alignment horizontal="right" vertical="top"/>
    </xf>
    <xf numFmtId="0" fontId="83" fillId="8" borderId="27" xfId="109" applyFont="1" applyFill="1" applyBorder="1" applyAlignment="1">
      <alignment vertical="center" wrapText="1"/>
    </xf>
    <xf numFmtId="0" fontId="21" fillId="8" borderId="27" xfId="108" applyFont="1" applyBorder="1" applyAlignment="1">
      <alignment horizontal="left" vertical="top" wrapText="1"/>
    </xf>
    <xf numFmtId="0" fontId="21" fillId="8" borderId="26" xfId="108" applyFont="1" applyAlignment="1">
      <alignment vertical="top" wrapText="1"/>
    </xf>
    <xf numFmtId="0" fontId="21" fillId="6" borderId="60" xfId="108" applyFont="1" applyFill="1" applyBorder="1" applyAlignment="1">
      <alignment horizontal="left" vertical="top"/>
    </xf>
    <xf numFmtId="0" fontId="36" fillId="8" borderId="66" xfId="108" applyFont="1" applyBorder="1" applyAlignment="1">
      <alignment horizontal="left" vertical="top"/>
    </xf>
    <xf numFmtId="0" fontId="36" fillId="8" borderId="71" xfId="108" applyFont="1" applyBorder="1" applyAlignment="1">
      <alignment horizontal="left" vertical="top" wrapText="1"/>
    </xf>
    <xf numFmtId="0" fontId="82" fillId="6" borderId="71" xfId="108" applyFont="1" applyFill="1" applyBorder="1" applyAlignment="1">
      <alignment horizontal="left" vertical="center"/>
    </xf>
    <xf numFmtId="0" fontId="78" fillId="6" borderId="19" xfId="3" applyFont="1" applyFill="1" applyBorder="1" applyAlignment="1">
      <alignment horizontal="center" vertical="center" wrapText="1"/>
    </xf>
    <xf numFmtId="0" fontId="21" fillId="0" borderId="0" xfId="0" applyFont="1" applyAlignment="1">
      <alignment vertical="top"/>
    </xf>
    <xf numFmtId="0" fontId="80" fillId="0" borderId="0" xfId="109" applyFont="1" applyAlignment="1">
      <alignment vertical="top"/>
    </xf>
    <xf numFmtId="0" fontId="78" fillId="6" borderId="27" xfId="108" applyFont="1" applyFill="1" applyBorder="1" applyAlignment="1">
      <alignment horizontal="left" vertical="top"/>
    </xf>
    <xf numFmtId="0" fontId="78" fillId="6" borderId="26" xfId="108" applyFont="1" applyFill="1" applyAlignment="1">
      <alignment horizontal="left" vertical="top"/>
    </xf>
    <xf numFmtId="0" fontId="82" fillId="19" borderId="27" xfId="108" applyFont="1" applyFill="1" applyBorder="1" applyAlignment="1">
      <alignment horizontal="right" vertical="top"/>
    </xf>
    <xf numFmtId="0" fontId="21" fillId="8" borderId="86" xfId="108" applyFont="1" applyBorder="1" applyAlignment="1">
      <alignment horizontal="left" vertical="top"/>
    </xf>
    <xf numFmtId="0" fontId="21" fillId="8" borderId="87" xfId="108" applyFont="1" applyBorder="1" applyAlignment="1">
      <alignment horizontal="left" vertical="top"/>
    </xf>
    <xf numFmtId="0" fontId="21" fillId="8" borderId="88" xfId="108" applyFont="1" applyBorder="1" applyAlignment="1">
      <alignment horizontal="left" vertical="top"/>
    </xf>
    <xf numFmtId="0" fontId="21" fillId="8" borderId="89" xfId="108" applyFont="1" applyBorder="1" applyAlignment="1">
      <alignment horizontal="left" vertical="top"/>
    </xf>
    <xf numFmtId="0" fontId="21" fillId="8" borderId="90" xfId="108" applyFont="1" applyBorder="1" applyAlignment="1">
      <alignment horizontal="left" vertical="top"/>
    </xf>
    <xf numFmtId="0" fontId="21" fillId="8" borderId="91" xfId="108" applyFont="1" applyBorder="1" applyAlignment="1">
      <alignment horizontal="left" vertical="top"/>
    </xf>
    <xf numFmtId="0" fontId="21" fillId="8" borderId="92" xfId="108" applyFont="1" applyBorder="1" applyAlignment="1">
      <alignment horizontal="left" vertical="top"/>
    </xf>
    <xf numFmtId="0" fontId="36" fillId="8" borderId="86" xfId="108" applyFont="1" applyBorder="1" applyAlignment="1">
      <alignment horizontal="left" vertical="top"/>
    </xf>
    <xf numFmtId="0" fontId="21" fillId="8" borderId="66" xfId="108" applyFont="1" applyBorder="1" applyAlignment="1">
      <alignment horizontal="left" vertical="top" wrapText="1"/>
    </xf>
    <xf numFmtId="0" fontId="21" fillId="8" borderId="72" xfId="108" applyFont="1" applyBorder="1" applyAlignment="1">
      <alignment horizontal="left" vertical="top" wrapText="1"/>
    </xf>
    <xf numFmtId="0" fontId="36" fillId="8" borderId="84" xfId="108" applyFont="1" applyBorder="1" applyAlignment="1">
      <alignment horizontal="left" vertical="top"/>
    </xf>
    <xf numFmtId="4" fontId="91" fillId="0" borderId="0" xfId="39" applyNumberFormat="1" applyFont="1" applyAlignment="1" applyProtection="1">
      <alignment horizontal="left" vertical="center"/>
      <protection hidden="1"/>
    </xf>
    <xf numFmtId="0" fontId="0" fillId="0" borderId="0" xfId="0" applyAlignment="1">
      <alignment vertical="center"/>
    </xf>
    <xf numFmtId="0" fontId="25" fillId="0" borderId="0" xfId="0" applyFont="1" applyAlignment="1">
      <alignment vertical="center"/>
    </xf>
    <xf numFmtId="0" fontId="20" fillId="0" borderId="0" xfId="0" applyFont="1" applyAlignment="1">
      <alignment vertical="center" wrapText="1"/>
    </xf>
    <xf numFmtId="0" fontId="0" fillId="0" borderId="0" xfId="0" applyAlignment="1">
      <alignment horizontal="left" vertical="center"/>
    </xf>
    <xf numFmtId="0" fontId="20" fillId="0" borderId="0" xfId="0" applyFont="1" applyAlignment="1">
      <alignment horizontal="left" vertical="center" wrapText="1"/>
    </xf>
    <xf numFmtId="0" fontId="23" fillId="0" borderId="0" xfId="0" applyFont="1" applyAlignment="1">
      <alignment vertical="center"/>
    </xf>
    <xf numFmtId="0" fontId="20" fillId="0" borderId="0" xfId="0" applyFont="1" applyAlignment="1">
      <alignment horizontal="center" vertical="center" wrapText="1"/>
    </xf>
    <xf numFmtId="0" fontId="41" fillId="6" borderId="6" xfId="0" applyFont="1" applyFill="1" applyBorder="1" applyAlignment="1">
      <alignment vertical="center"/>
    </xf>
    <xf numFmtId="0" fontId="14" fillId="0" borderId="26" xfId="110" applyFill="1" applyBorder="1" applyAlignment="1" applyProtection="1">
      <alignment horizontal="center" vertical="center" wrapText="1"/>
    </xf>
    <xf numFmtId="0" fontId="20" fillId="8" borderId="67" xfId="114" applyFont="1" applyBorder="1" applyAlignment="1" applyProtection="1">
      <alignment vertical="center" wrapText="1"/>
    </xf>
    <xf numFmtId="0" fontId="20" fillId="8" borderId="73" xfId="114" applyFont="1" applyBorder="1" applyAlignment="1" applyProtection="1">
      <alignment vertical="center" wrapText="1"/>
    </xf>
    <xf numFmtId="0" fontId="20" fillId="8" borderId="59" xfId="114" applyFont="1" applyBorder="1" applyAlignment="1" applyProtection="1">
      <alignment vertical="center" wrapText="1"/>
    </xf>
    <xf numFmtId="0" fontId="20" fillId="8" borderId="26" xfId="114" applyFont="1" applyAlignment="1" applyProtection="1">
      <alignment vertical="center"/>
    </xf>
    <xf numFmtId="0" fontId="20" fillId="8" borderId="26" xfId="114" applyFont="1" applyAlignment="1" applyProtection="1">
      <alignment vertical="center" wrapText="1"/>
    </xf>
    <xf numFmtId="0" fontId="20" fillId="8" borderId="67" xfId="114" applyFont="1" applyBorder="1" applyAlignment="1" applyProtection="1">
      <alignment vertical="center"/>
    </xf>
    <xf numFmtId="0" fontId="20" fillId="8" borderId="73" xfId="114" applyFont="1" applyBorder="1" applyAlignment="1" applyProtection="1">
      <alignment vertical="center"/>
    </xf>
    <xf numFmtId="0" fontId="20" fillId="8" borderId="59" xfId="114" applyFont="1" applyBorder="1" applyAlignment="1" applyProtection="1">
      <alignment vertical="center"/>
    </xf>
    <xf numFmtId="0" fontId="20" fillId="8" borderId="26" xfId="108" applyFont="1" applyAlignment="1" applyProtection="1">
      <alignment horizontal="left" vertical="center"/>
    </xf>
    <xf numFmtId="0" fontId="20" fillId="8" borderId="93" xfId="108" applyFont="1" applyBorder="1" applyAlignment="1" applyProtection="1">
      <alignment horizontal="left" vertical="center"/>
    </xf>
    <xf numFmtId="0" fontId="0" fillId="8" borderId="27" xfId="108" applyFont="1" applyBorder="1" applyAlignment="1" applyProtection="1">
      <alignment vertical="center"/>
    </xf>
    <xf numFmtId="164" fontId="0" fillId="15" borderId="6" xfId="1" applyFont="1" applyFill="1" applyBorder="1" applyAlignment="1" applyProtection="1">
      <alignment horizontal="center" vertical="center"/>
    </xf>
    <xf numFmtId="0" fontId="20" fillId="8" borderId="60" xfId="108" applyFont="1" applyBorder="1" applyAlignment="1" applyProtection="1">
      <alignment horizontal="left" vertical="center"/>
    </xf>
    <xf numFmtId="0" fontId="20" fillId="8" borderId="96" xfId="108" applyFont="1" applyBorder="1" applyAlignment="1" applyProtection="1">
      <alignment horizontal="left" vertical="center"/>
    </xf>
    <xf numFmtId="0" fontId="0" fillId="8" borderId="26" xfId="108" applyFont="1" applyAlignment="1" applyProtection="1">
      <alignment vertical="center"/>
    </xf>
    <xf numFmtId="0" fontId="20" fillId="8" borderId="31" xfId="108" applyFont="1" applyBorder="1" applyAlignment="1" applyProtection="1">
      <alignment horizontal="left" vertical="center"/>
    </xf>
    <xf numFmtId="168" fontId="0" fillId="0" borderId="6" xfId="47" applyNumberFormat="1" applyFont="1" applyBorder="1" applyAlignment="1" applyProtection="1">
      <alignment vertical="center"/>
    </xf>
    <xf numFmtId="0" fontId="14" fillId="0" borderId="8" xfId="110" applyFill="1" applyBorder="1" applyAlignment="1" applyProtection="1">
      <alignment horizontal="center" vertical="center" wrapText="1"/>
    </xf>
    <xf numFmtId="0" fontId="76" fillId="8" borderId="26" xfId="108" applyFont="1" applyAlignment="1" applyProtection="1">
      <alignment vertical="center" wrapText="1"/>
    </xf>
    <xf numFmtId="0" fontId="24" fillId="14" borderId="6" xfId="12" applyFill="1" applyBorder="1" applyAlignment="1" applyProtection="1">
      <alignment vertical="center"/>
      <protection locked="0"/>
    </xf>
    <xf numFmtId="0" fontId="24" fillId="14" borderId="6" xfId="12" applyFill="1" applyBorder="1" applyAlignment="1" applyProtection="1">
      <alignment horizontal="left" vertical="center" wrapText="1"/>
      <protection locked="0"/>
    </xf>
    <xf numFmtId="0" fontId="0" fillId="14" borderId="6" xfId="0" applyFill="1" applyBorder="1" applyAlignment="1" applyProtection="1">
      <alignment horizontal="center" vertical="center"/>
      <protection locked="0"/>
    </xf>
    <xf numFmtId="0" fontId="0" fillId="14" borderId="6" xfId="0" applyFill="1" applyBorder="1" applyAlignment="1" applyProtection="1">
      <alignment vertical="center"/>
      <protection locked="0"/>
    </xf>
    <xf numFmtId="0" fontId="20" fillId="14" borderId="6" xfId="0" applyFont="1" applyFill="1" applyBorder="1" applyAlignment="1" applyProtection="1">
      <alignment horizontal="left" vertical="center"/>
      <protection locked="0"/>
    </xf>
    <xf numFmtId="0" fontId="24" fillId="14" borderId="6" xfId="12" applyFill="1" applyBorder="1" applyAlignment="1" applyProtection="1">
      <alignment horizontal="left" vertical="center" indent="1"/>
      <protection locked="0"/>
    </xf>
    <xf numFmtId="164" fontId="15" fillId="16" borderId="6" xfId="1" applyFont="1" applyFill="1" applyBorder="1" applyAlignment="1" applyProtection="1">
      <alignment horizontal="center" vertical="center"/>
      <protection locked="0"/>
    </xf>
    <xf numFmtId="164" fontId="15" fillId="16" borderId="35" xfId="1" applyFont="1" applyFill="1" applyBorder="1" applyAlignment="1" applyProtection="1">
      <alignment horizontal="center" vertical="center"/>
      <protection locked="0"/>
    </xf>
    <xf numFmtId="174" fontId="0" fillId="8" borderId="26" xfId="108" applyNumberFormat="1" applyFont="1" applyAlignment="1" applyProtection="1">
      <alignment horizontal="center" vertical="top"/>
    </xf>
    <xf numFmtId="0" fontId="0" fillId="8" borderId="26" xfId="108" applyFont="1" applyAlignment="1" applyProtection="1">
      <alignment vertical="top"/>
    </xf>
    <xf numFmtId="0" fontId="20" fillId="8" borderId="26" xfId="108" applyFont="1" applyAlignment="1" applyProtection="1">
      <alignment vertical="top" wrapText="1"/>
    </xf>
    <xf numFmtId="174" fontId="0" fillId="0" borderId="0" xfId="0" applyNumberFormat="1"/>
    <xf numFmtId="0" fontId="57" fillId="0" borderId="0" xfId="0" applyFont="1" applyAlignment="1">
      <alignment vertical="center"/>
    </xf>
    <xf numFmtId="0" fontId="52" fillId="0" borderId="0" xfId="109" applyProtection="1"/>
    <xf numFmtId="0" fontId="23" fillId="0" borderId="0" xfId="0" applyFont="1" applyAlignment="1">
      <alignment horizontal="center"/>
    </xf>
    <xf numFmtId="0" fontId="23" fillId="0" borderId="0" xfId="0" applyFont="1"/>
    <xf numFmtId="0" fontId="14" fillId="8" borderId="26" xfId="108" applyFont="1" applyAlignment="1" applyProtection="1">
      <alignment horizontal="left" vertical="center" wrapText="1"/>
    </xf>
    <xf numFmtId="0" fontId="15" fillId="14" borderId="3" xfId="4" applyNumberFormat="1" applyFill="1" applyAlignment="1" applyProtection="1">
      <alignment horizontal="center" vertical="center"/>
      <protection locked="0"/>
    </xf>
    <xf numFmtId="0" fontId="0" fillId="14" borderId="26" xfId="108" applyFont="1" applyFill="1" applyAlignment="1" applyProtection="1">
      <alignment horizontal="left" vertical="top" wrapText="1"/>
      <protection locked="0"/>
    </xf>
    <xf numFmtId="0" fontId="52" fillId="0" borderId="0" xfId="109" applyFill="1" applyBorder="1" applyAlignment="1" applyProtection="1">
      <alignment vertical="center" wrapText="1"/>
    </xf>
    <xf numFmtId="0" fontId="23" fillId="17" borderId="6" xfId="0" applyFont="1" applyFill="1" applyBorder="1" applyAlignment="1">
      <alignment vertical="center"/>
    </xf>
    <xf numFmtId="167" fontId="0" fillId="0" borderId="6" xfId="1" applyNumberFormat="1" applyFont="1" applyBorder="1" applyAlignment="1" applyProtection="1">
      <alignment vertical="center"/>
    </xf>
    <xf numFmtId="167" fontId="0" fillId="0" borderId="24" xfId="1" applyNumberFormat="1" applyFont="1" applyBorder="1" applyAlignment="1" applyProtection="1">
      <alignment vertical="center"/>
    </xf>
    <xf numFmtId="0" fontId="34" fillId="0" borderId="0" xfId="0" applyFont="1" applyAlignment="1">
      <alignment vertical="center"/>
    </xf>
    <xf numFmtId="0" fontId="23" fillId="8" borderId="26" xfId="108" applyFont="1" applyAlignment="1" applyProtection="1">
      <alignment horizontal="right" vertical="center"/>
    </xf>
    <xf numFmtId="167" fontId="19" fillId="0" borderId="14" xfId="104" applyNumberFormat="1" applyAlignment="1" applyProtection="1">
      <alignment vertical="center"/>
    </xf>
    <xf numFmtId="0" fontId="23" fillId="17" borderId="24" xfId="0" applyFont="1" applyFill="1" applyBorder="1" applyAlignment="1">
      <alignment vertical="center"/>
    </xf>
    <xf numFmtId="0" fontId="23" fillId="17" borderId="30" xfId="108" applyFont="1" applyFill="1" applyBorder="1" applyAlignment="1" applyProtection="1">
      <alignment vertical="center"/>
    </xf>
    <xf numFmtId="0" fontId="23" fillId="17" borderId="0" xfId="108" applyFont="1" applyFill="1" applyBorder="1" applyAlignment="1" applyProtection="1">
      <alignment vertical="center"/>
    </xf>
    <xf numFmtId="0" fontId="52" fillId="0" borderId="6" xfId="109" applyFill="1" applyBorder="1" applyAlignment="1" applyProtection="1">
      <alignment vertical="center"/>
    </xf>
    <xf numFmtId="167" fontId="43" fillId="3" borderId="69" xfId="103" applyNumberFormat="1" applyBorder="1" applyAlignment="1" applyProtection="1">
      <alignment vertical="center"/>
    </xf>
    <xf numFmtId="167" fontId="0" fillId="14" borderId="6" xfId="1" applyNumberFormat="1" applyFont="1" applyFill="1" applyBorder="1" applyAlignment="1" applyProtection="1">
      <alignment vertical="center"/>
      <protection locked="0"/>
    </xf>
    <xf numFmtId="167" fontId="34" fillId="14" borderId="6" xfId="1" applyNumberFormat="1" applyFont="1" applyFill="1" applyBorder="1" applyAlignment="1" applyProtection="1">
      <alignment vertical="center"/>
      <protection locked="0"/>
    </xf>
    <xf numFmtId="0" fontId="0" fillId="14" borderId="6" xfId="108" applyFont="1" applyFill="1" applyBorder="1" applyAlignment="1" applyProtection="1">
      <alignment vertical="center" wrapText="1"/>
      <protection locked="0"/>
    </xf>
    <xf numFmtId="0" fontId="0" fillId="14" borderId="6" xfId="108" applyFont="1" applyFill="1" applyBorder="1" applyAlignment="1" applyProtection="1">
      <alignment vertical="center"/>
      <protection locked="0"/>
    </xf>
    <xf numFmtId="9" fontId="0" fillId="0" borderId="0" xfId="33" applyFont="1" applyProtection="1"/>
    <xf numFmtId="0" fontId="14" fillId="0" borderId="2" xfId="3" applyAlignment="1" applyProtection="1">
      <alignment horizontal="right" vertical="center"/>
    </xf>
    <xf numFmtId="0" fontId="0" fillId="0" borderId="0" xfId="0" applyAlignment="1">
      <alignment horizontal="right" vertical="center"/>
    </xf>
    <xf numFmtId="0" fontId="20" fillId="8" borderId="31" xfId="108" applyFont="1" applyBorder="1" applyAlignment="1" applyProtection="1">
      <alignment vertical="center"/>
    </xf>
    <xf numFmtId="0" fontId="0" fillId="8" borderId="49" xfId="108" applyFont="1" applyBorder="1" applyProtection="1"/>
    <xf numFmtId="0" fontId="0" fillId="8" borderId="27" xfId="108" applyFont="1" applyBorder="1" applyProtection="1"/>
    <xf numFmtId="0" fontId="14" fillId="0" borderId="0" xfId="110" applyProtection="1"/>
    <xf numFmtId="0" fontId="41" fillId="6" borderId="0" xfId="0" applyFont="1" applyFill="1" applyAlignment="1">
      <alignment vertical="center"/>
    </xf>
    <xf numFmtId="0" fontId="34" fillId="0" borderId="0" xfId="0" applyFont="1"/>
    <xf numFmtId="0" fontId="41" fillId="6" borderId="30" xfId="108" applyFont="1" applyFill="1" applyBorder="1" applyAlignment="1" applyProtection="1">
      <alignment vertical="center"/>
    </xf>
    <xf numFmtId="0" fontId="41" fillId="6" borderId="0" xfId="108" applyFont="1" applyFill="1" applyBorder="1" applyAlignment="1" applyProtection="1">
      <alignment vertical="center"/>
    </xf>
    <xf numFmtId="0" fontId="20" fillId="8" borderId="26" xfId="108" applyFont="1" applyAlignment="1" applyProtection="1">
      <alignment horizontal="left" vertical="center" indent="1"/>
    </xf>
    <xf numFmtId="0" fontId="47" fillId="8" borderId="26" xfId="108" applyFont="1" applyAlignment="1" applyProtection="1">
      <alignment horizontal="right" vertical="center"/>
    </xf>
    <xf numFmtId="0" fontId="20" fillId="0" borderId="0" xfId="0" applyFont="1" applyAlignment="1">
      <alignment horizontal="center"/>
    </xf>
    <xf numFmtId="9" fontId="43" fillId="3" borderId="13" xfId="103" applyNumberFormat="1" applyAlignment="1" applyProtection="1">
      <alignment horizontal="center" vertical="center"/>
    </xf>
    <xf numFmtId="167" fontId="18" fillId="6" borderId="37" xfId="104" applyNumberFormat="1" applyFont="1" applyFill="1" applyBorder="1" applyAlignment="1" applyProtection="1">
      <alignment vertical="center"/>
    </xf>
    <xf numFmtId="0" fontId="55" fillId="0" borderId="0" xfId="111" applyFill="1" applyProtection="1"/>
    <xf numFmtId="174" fontId="15" fillId="14" borderId="3" xfId="4" applyNumberFormat="1" applyFill="1" applyAlignment="1" applyProtection="1">
      <alignment horizontal="center"/>
      <protection locked="0"/>
    </xf>
    <xf numFmtId="0" fontId="15" fillId="14" borderId="6" xfId="4" applyFill="1" applyBorder="1" applyAlignment="1" applyProtection="1">
      <alignment horizontal="left" vertical="center"/>
      <protection locked="0"/>
    </xf>
    <xf numFmtId="174" fontId="15" fillId="14" borderId="6" xfId="4" applyNumberFormat="1" applyFill="1" applyBorder="1" applyAlignment="1" applyProtection="1">
      <alignment horizontal="center"/>
      <protection locked="0"/>
    </xf>
    <xf numFmtId="164" fontId="15" fillId="14" borderId="6" xfId="1" applyFont="1" applyFill="1" applyBorder="1" applyAlignment="1" applyProtection="1">
      <alignment vertical="center"/>
      <protection locked="0"/>
    </xf>
    <xf numFmtId="0" fontId="24" fillId="14" borderId="26" xfId="12" applyFill="1" applyBorder="1" applyAlignment="1" applyProtection="1">
      <alignment horizontal="left" vertical="center" indent="1"/>
      <protection locked="0"/>
    </xf>
    <xf numFmtId="9" fontId="43" fillId="16" borderId="13" xfId="33" applyFont="1" applyFill="1" applyBorder="1" applyAlignment="1" applyProtection="1">
      <alignment horizontal="center" vertical="center"/>
      <protection locked="0"/>
    </xf>
    <xf numFmtId="0" fontId="36" fillId="0" borderId="0" xfId="0" applyFont="1" applyAlignment="1">
      <alignment vertical="center"/>
    </xf>
    <xf numFmtId="0" fontId="69" fillId="0" borderId="0" xfId="0" applyFont="1" applyAlignment="1">
      <alignment vertical="center"/>
    </xf>
    <xf numFmtId="0" fontId="36" fillId="0" borderId="0" xfId="0" applyFont="1" applyAlignment="1">
      <alignment horizontal="right" vertical="center"/>
    </xf>
    <xf numFmtId="167" fontId="75" fillId="0" borderId="14" xfId="104" applyNumberFormat="1" applyFont="1" applyAlignment="1" applyProtection="1">
      <alignment vertical="center"/>
    </xf>
    <xf numFmtId="0" fontId="78" fillId="6" borderId="0" xfId="0" applyFont="1" applyFill="1" applyAlignment="1">
      <alignment horizontal="left" vertical="center"/>
    </xf>
    <xf numFmtId="166" fontId="78" fillId="6" borderId="0" xfId="0" applyNumberFormat="1" applyFont="1" applyFill="1" applyAlignment="1">
      <alignment horizontal="left" vertical="center"/>
    </xf>
    <xf numFmtId="0" fontId="80" fillId="0" borderId="0" xfId="109" applyFont="1" applyAlignment="1" applyProtection="1">
      <alignment horizontal="right" vertical="center"/>
    </xf>
    <xf numFmtId="166" fontId="75" fillId="0" borderId="14" xfId="104" applyNumberFormat="1" applyFont="1" applyAlignment="1" applyProtection="1">
      <alignment horizontal="center" vertical="center"/>
    </xf>
    <xf numFmtId="0" fontId="78" fillId="6" borderId="71" xfId="108" applyFont="1" applyFill="1" applyBorder="1" applyAlignment="1" applyProtection="1">
      <alignment horizontal="left" vertical="center"/>
    </xf>
    <xf numFmtId="0" fontId="78" fillId="6" borderId="67" xfId="108" applyFont="1" applyFill="1" applyBorder="1" applyAlignment="1" applyProtection="1">
      <alignment horizontal="left" vertical="center"/>
    </xf>
    <xf numFmtId="0" fontId="78" fillId="6" borderId="46" xfId="3" applyFont="1" applyFill="1" applyBorder="1" applyAlignment="1" applyProtection="1">
      <alignment horizontal="center" vertical="center" wrapText="1"/>
    </xf>
    <xf numFmtId="0" fontId="78" fillId="6" borderId="2" xfId="3" applyFont="1" applyFill="1" applyAlignment="1" applyProtection="1">
      <alignment horizontal="center" vertical="center" wrapText="1"/>
    </xf>
    <xf numFmtId="0" fontId="21" fillId="8" borderId="27" xfId="108" applyFont="1" applyBorder="1" applyAlignment="1" applyProtection="1">
      <alignment vertical="center" wrapText="1"/>
    </xf>
    <xf numFmtId="0" fontId="36" fillId="8" borderId="72" xfId="108" applyFont="1" applyBorder="1" applyAlignment="1" applyProtection="1">
      <alignment horizontal="left" vertical="top"/>
    </xf>
    <xf numFmtId="0" fontId="21" fillId="8" borderId="59" xfId="108" applyFont="1" applyBorder="1" applyAlignment="1" applyProtection="1">
      <alignment horizontal="left" vertical="top"/>
    </xf>
    <xf numFmtId="0" fontId="21" fillId="8" borderId="59" xfId="108" applyFont="1" applyBorder="1" applyAlignment="1" applyProtection="1">
      <alignment horizontal="left" vertical="top" wrapText="1"/>
    </xf>
    <xf numFmtId="0" fontId="21" fillId="8" borderId="27" xfId="108" applyFont="1" applyBorder="1" applyAlignment="1" applyProtection="1">
      <alignment horizontal="left" vertical="center" wrapText="1"/>
    </xf>
    <xf numFmtId="0" fontId="36" fillId="8" borderId="84" xfId="108" applyFont="1" applyBorder="1" applyAlignment="1" applyProtection="1">
      <alignment horizontal="left" vertical="top"/>
    </xf>
    <xf numFmtId="0" fontId="21" fillId="8" borderId="26" xfId="108" applyFont="1" applyAlignment="1" applyProtection="1">
      <alignment horizontal="left" vertical="top"/>
    </xf>
    <xf numFmtId="0" fontId="21" fillId="8" borderId="26" xfId="108" applyFont="1" applyAlignment="1" applyProtection="1">
      <alignment horizontal="left" vertical="top" wrapText="1"/>
    </xf>
    <xf numFmtId="0" fontId="21" fillId="8" borderId="26" xfId="108" applyFont="1" applyAlignment="1" applyProtection="1">
      <alignment horizontal="left" vertical="center" wrapText="1"/>
    </xf>
    <xf numFmtId="0" fontId="21" fillId="8" borderId="71" xfId="108" applyFont="1" applyBorder="1" applyAlignment="1" applyProtection="1">
      <alignment horizontal="left" vertical="top"/>
    </xf>
    <xf numFmtId="0" fontId="21" fillId="8" borderId="67" xfId="108" applyFont="1" applyBorder="1" applyAlignment="1" applyProtection="1">
      <alignment horizontal="left" vertical="top"/>
    </xf>
    <xf numFmtId="0" fontId="21" fillId="8" borderId="66" xfId="108" applyFont="1" applyBorder="1" applyAlignment="1" applyProtection="1">
      <alignment horizontal="left" vertical="top"/>
    </xf>
    <xf numFmtId="0" fontId="21" fillId="8" borderId="73" xfId="108" applyFont="1" applyBorder="1" applyAlignment="1" applyProtection="1">
      <alignment horizontal="left" vertical="top"/>
    </xf>
    <xf numFmtId="164" fontId="21" fillId="15" borderId="6" xfId="1" applyFont="1" applyFill="1" applyBorder="1" applyAlignment="1" applyProtection="1">
      <alignment horizontal="center" vertical="center"/>
    </xf>
    <xf numFmtId="0" fontId="21" fillId="8" borderId="72" xfId="108" applyFont="1" applyBorder="1" applyAlignment="1" applyProtection="1">
      <alignment horizontal="left" vertical="top"/>
    </xf>
    <xf numFmtId="167" fontId="81" fillId="3" borderId="13" xfId="103" applyNumberFormat="1" applyFont="1" applyAlignment="1" applyProtection="1">
      <alignment horizontal="right" vertical="center"/>
    </xf>
    <xf numFmtId="175" fontId="21" fillId="0" borderId="6" xfId="47" applyNumberFormat="1" applyFont="1" applyBorder="1" applyAlignment="1" applyProtection="1">
      <alignment horizontal="center" vertical="center"/>
    </xf>
    <xf numFmtId="0" fontId="21" fillId="8" borderId="26" xfId="108" applyFont="1" applyAlignment="1" applyProtection="1">
      <alignment vertical="top"/>
    </xf>
    <xf numFmtId="165" fontId="21" fillId="0" borderId="6" xfId="47" applyFont="1" applyBorder="1" applyAlignment="1" applyProtection="1">
      <alignment horizontal="center" vertical="center"/>
    </xf>
    <xf numFmtId="169" fontId="81" fillId="3" borderId="13" xfId="103" applyNumberFormat="1" applyFont="1" applyAlignment="1" applyProtection="1">
      <alignment horizontal="right" vertical="center"/>
    </xf>
    <xf numFmtId="164" fontId="21" fillId="0" borderId="6" xfId="1" applyFont="1" applyFill="1" applyBorder="1" applyAlignment="1" applyProtection="1">
      <alignment horizontal="center" vertical="center"/>
    </xf>
    <xf numFmtId="167" fontId="81" fillId="3" borderId="6" xfId="103" applyNumberFormat="1" applyFont="1" applyBorder="1" applyAlignment="1" applyProtection="1">
      <alignment horizontal="right" vertical="center"/>
    </xf>
    <xf numFmtId="0" fontId="21" fillId="8" borderId="54" xfId="108" applyFont="1" applyBorder="1" applyAlignment="1" applyProtection="1">
      <alignment horizontal="left" vertical="top"/>
    </xf>
    <xf numFmtId="0" fontId="21" fillId="8" borderId="55" xfId="108" applyFont="1" applyBorder="1" applyAlignment="1" applyProtection="1">
      <alignment horizontal="left" vertical="top"/>
    </xf>
    <xf numFmtId="0" fontId="21" fillId="8" borderId="53" xfId="108" applyFont="1" applyBorder="1" applyAlignment="1" applyProtection="1">
      <alignment horizontal="left" vertical="top"/>
    </xf>
    <xf numFmtId="0" fontId="21" fillId="8" borderId="70" xfId="108" applyFont="1" applyBorder="1" applyAlignment="1" applyProtection="1">
      <alignment horizontal="left" vertical="top"/>
    </xf>
    <xf numFmtId="0" fontId="21" fillId="8" borderId="56" xfId="108" applyFont="1" applyBorder="1" applyAlignment="1" applyProtection="1">
      <alignment horizontal="left" vertical="top"/>
    </xf>
    <xf numFmtId="0" fontId="21" fillId="8" borderId="57" xfId="108" applyFont="1" applyBorder="1" applyAlignment="1" applyProtection="1">
      <alignment horizontal="left" vertical="top"/>
    </xf>
    <xf numFmtId="0" fontId="21" fillId="18" borderId="53" xfId="0" applyFont="1" applyFill="1" applyBorder="1" applyAlignment="1">
      <alignment vertical="top"/>
    </xf>
    <xf numFmtId="0" fontId="21" fillId="18" borderId="0" xfId="0" applyFont="1" applyFill="1" applyAlignment="1">
      <alignment vertical="top"/>
    </xf>
    <xf numFmtId="0" fontId="21" fillId="18" borderId="0" xfId="0" applyFont="1" applyFill="1" applyAlignment="1">
      <alignment horizontal="right" vertical="top"/>
    </xf>
    <xf numFmtId="0" fontId="21" fillId="18" borderId="0" xfId="0" applyFont="1" applyFill="1" applyAlignment="1">
      <alignment vertical="center"/>
    </xf>
    <xf numFmtId="166" fontId="21" fillId="18" borderId="6" xfId="0" applyNumberFormat="1" applyFont="1" applyFill="1" applyBorder="1" applyAlignment="1">
      <alignment horizontal="center" vertical="center"/>
    </xf>
    <xf numFmtId="0" fontId="21" fillId="6" borderId="53" xfId="108" applyFont="1" applyFill="1" applyBorder="1" applyAlignment="1" applyProtection="1">
      <alignment horizontal="left" vertical="top"/>
    </xf>
    <xf numFmtId="0" fontId="21" fillId="6" borderId="0" xfId="108" applyFont="1" applyFill="1" applyBorder="1" applyAlignment="1" applyProtection="1">
      <alignment horizontal="left" vertical="top"/>
    </xf>
    <xf numFmtId="0" fontId="82" fillId="6" borderId="0" xfId="108" applyFont="1" applyFill="1" applyBorder="1" applyAlignment="1" applyProtection="1">
      <alignment horizontal="right" vertical="top"/>
    </xf>
    <xf numFmtId="167" fontId="78" fillId="6" borderId="14" xfId="104" applyNumberFormat="1" applyFont="1" applyFill="1" applyAlignment="1" applyProtection="1">
      <alignment vertical="center"/>
    </xf>
    <xf numFmtId="164" fontId="21" fillId="18" borderId="6" xfId="1" applyFont="1" applyFill="1" applyBorder="1" applyAlignment="1" applyProtection="1">
      <alignment horizontal="center" vertical="center"/>
    </xf>
    <xf numFmtId="168" fontId="21" fillId="0" borderId="6" xfId="47" applyNumberFormat="1" applyFont="1" applyBorder="1" applyAlignment="1" applyProtection="1">
      <alignment horizontal="center" vertical="center"/>
    </xf>
    <xf numFmtId="166" fontId="21" fillId="18" borderId="0" xfId="0" applyNumberFormat="1" applyFont="1" applyFill="1" applyAlignment="1">
      <alignment horizontal="center" vertical="center"/>
    </xf>
    <xf numFmtId="0" fontId="36" fillId="8" borderId="84" xfId="108" applyFont="1" applyBorder="1" applyAlignment="1" applyProtection="1">
      <alignment vertical="top"/>
    </xf>
    <xf numFmtId="0" fontId="21" fillId="8" borderId="26" xfId="108" applyFont="1" applyAlignment="1" applyProtection="1">
      <alignment horizontal="right" vertical="top"/>
    </xf>
    <xf numFmtId="0" fontId="21" fillId="8" borderId="73" xfId="108" applyFont="1" applyBorder="1" applyAlignment="1" applyProtection="1">
      <alignment vertical="top"/>
    </xf>
    <xf numFmtId="0" fontId="21" fillId="6" borderId="84" xfId="108" applyFont="1" applyFill="1" applyBorder="1" applyAlignment="1" applyProtection="1">
      <alignment horizontal="left" vertical="top"/>
    </xf>
    <xf numFmtId="0" fontId="21" fillId="6" borderId="27" xfId="108" applyFont="1" applyFill="1" applyBorder="1" applyAlignment="1" applyProtection="1">
      <alignment horizontal="left" vertical="top"/>
    </xf>
    <xf numFmtId="0" fontId="82" fillId="6" borderId="27" xfId="108" applyFont="1" applyFill="1" applyBorder="1" applyAlignment="1" applyProtection="1">
      <alignment horizontal="right" vertical="top"/>
    </xf>
    <xf numFmtId="0" fontId="36" fillId="8" borderId="71" xfId="108" applyFont="1" applyBorder="1" applyAlignment="1" applyProtection="1">
      <alignment horizontal="left" vertical="top"/>
    </xf>
    <xf numFmtId="0" fontId="21" fillId="8" borderId="67" xfId="108" applyFont="1" applyBorder="1" applyAlignment="1" applyProtection="1">
      <alignment vertical="top"/>
    </xf>
    <xf numFmtId="0" fontId="21" fillId="8" borderId="59" xfId="108" applyFont="1" applyBorder="1" applyAlignment="1" applyProtection="1">
      <alignment vertical="top"/>
    </xf>
    <xf numFmtId="166" fontId="81" fillId="3" borderId="13" xfId="103" applyNumberFormat="1" applyFont="1" applyAlignment="1" applyProtection="1">
      <alignment vertical="center"/>
    </xf>
    <xf numFmtId="0" fontId="21" fillId="8" borderId="27" xfId="108" applyFont="1" applyBorder="1" applyAlignment="1" applyProtection="1">
      <alignment horizontal="left" vertical="top"/>
    </xf>
    <xf numFmtId="167" fontId="81" fillId="3" borderId="13" xfId="103" applyNumberFormat="1" applyFont="1" applyAlignment="1" applyProtection="1">
      <alignment horizontal="center" vertical="center"/>
    </xf>
    <xf numFmtId="167" fontId="81" fillId="3" borderId="44" xfId="1" applyNumberFormat="1" applyFont="1" applyFill="1" applyBorder="1" applyAlignment="1" applyProtection="1">
      <alignment horizontal="center" vertical="center"/>
    </xf>
    <xf numFmtId="0" fontId="21" fillId="8" borderId="71" xfId="108" applyFont="1" applyBorder="1" applyAlignment="1" applyProtection="1">
      <alignment vertical="top"/>
    </xf>
    <xf numFmtId="0" fontId="21" fillId="8" borderId="66" xfId="108" applyFont="1" applyBorder="1" applyAlignment="1" applyProtection="1">
      <alignment vertical="top"/>
    </xf>
    <xf numFmtId="0" fontId="21" fillId="8" borderId="27" xfId="108" applyFont="1" applyBorder="1" applyAlignment="1" applyProtection="1">
      <alignment vertical="top"/>
    </xf>
    <xf numFmtId="2" fontId="21" fillId="0" borderId="6" xfId="47" applyNumberFormat="1" applyFont="1" applyBorder="1" applyAlignment="1" applyProtection="1">
      <alignment horizontal="center" vertical="center"/>
    </xf>
    <xf numFmtId="0" fontId="21" fillId="8" borderId="72" xfId="108" applyFont="1" applyBorder="1" applyAlignment="1" applyProtection="1">
      <alignment vertical="top"/>
    </xf>
    <xf numFmtId="167" fontId="81" fillId="3" borderId="6" xfId="103" applyNumberFormat="1" applyFont="1" applyBorder="1" applyAlignment="1" applyProtection="1">
      <alignment vertical="center"/>
    </xf>
    <xf numFmtId="0" fontId="36" fillId="8" borderId="80" xfId="108" applyFont="1" applyBorder="1" applyAlignment="1" applyProtection="1">
      <alignment horizontal="left" vertical="top" wrapText="1"/>
    </xf>
    <xf numFmtId="0" fontId="21" fillId="8" borderId="81" xfId="108" applyFont="1" applyBorder="1" applyAlignment="1" applyProtection="1">
      <alignment horizontal="left" vertical="top"/>
    </xf>
    <xf numFmtId="0" fontId="21" fillId="8" borderId="82" xfId="108" applyFont="1" applyBorder="1" applyAlignment="1" applyProtection="1">
      <alignment horizontal="left" vertical="top"/>
    </xf>
    <xf numFmtId="0" fontId="21" fillId="6" borderId="60" xfId="108" applyFont="1" applyFill="1" applyBorder="1" applyAlignment="1" applyProtection="1">
      <alignment horizontal="left" vertical="top"/>
    </xf>
    <xf numFmtId="167" fontId="78" fillId="6" borderId="45" xfId="104" applyNumberFormat="1" applyFont="1" applyFill="1" applyBorder="1" applyAlignment="1" applyProtection="1">
      <alignment vertical="center"/>
    </xf>
    <xf numFmtId="0" fontId="79" fillId="14" borderId="6" xfId="12" applyFont="1" applyFill="1" applyBorder="1" applyAlignment="1" applyProtection="1">
      <alignment vertical="center"/>
      <protection locked="0"/>
    </xf>
    <xf numFmtId="0" fontId="36" fillId="14" borderId="84" xfId="108" applyFont="1" applyFill="1" applyBorder="1" applyAlignment="1" applyProtection="1">
      <alignment horizontal="left" vertical="top" wrapText="1"/>
      <protection locked="0"/>
    </xf>
    <xf numFmtId="0" fontId="21" fillId="14" borderId="26" xfId="108" applyFont="1" applyFill="1" applyAlignment="1" applyProtection="1">
      <alignment horizontal="left" vertical="top" wrapText="1"/>
      <protection locked="0"/>
    </xf>
    <xf numFmtId="1" fontId="74" fillId="14" borderId="34" xfId="4" applyNumberFormat="1" applyFont="1" applyFill="1" applyBorder="1" applyAlignment="1" applyProtection="1">
      <alignment vertical="center" wrapText="1"/>
      <protection locked="0"/>
    </xf>
    <xf numFmtId="0" fontId="21" fillId="14" borderId="26" xfId="108" applyFont="1" applyFill="1" applyAlignment="1" applyProtection="1">
      <alignment horizontal="left" vertical="center" wrapText="1"/>
      <protection locked="0"/>
    </xf>
    <xf numFmtId="1" fontId="74" fillId="14" borderId="35" xfId="4" applyNumberFormat="1" applyFont="1" applyFill="1" applyBorder="1" applyAlignment="1" applyProtection="1">
      <alignment vertical="center" wrapText="1"/>
      <protection locked="0"/>
    </xf>
    <xf numFmtId="1" fontId="74" fillId="14" borderId="3" xfId="4" applyNumberFormat="1" applyFont="1" applyFill="1" applyAlignment="1" applyProtection="1">
      <alignment vertical="center"/>
      <protection locked="0"/>
    </xf>
    <xf numFmtId="0" fontId="74" fillId="14" borderId="34" xfId="4" applyFont="1" applyFill="1" applyBorder="1" applyAlignment="1" applyProtection="1">
      <alignment horizontal="right" vertical="center"/>
      <protection locked="0"/>
    </xf>
    <xf numFmtId="0" fontId="21" fillId="14" borderId="59" xfId="108" applyFont="1" applyFill="1" applyBorder="1" applyAlignment="1" applyProtection="1">
      <alignment horizontal="left" vertical="center" wrapText="1"/>
      <protection locked="0"/>
    </xf>
    <xf numFmtId="2" fontId="74" fillId="14" borderId="3" xfId="4" applyNumberFormat="1" applyFont="1" applyFill="1" applyAlignment="1" applyProtection="1">
      <alignment vertical="center"/>
      <protection locked="0"/>
    </xf>
    <xf numFmtId="9" fontId="74" fillId="14" borderId="3" xfId="33" applyFont="1" applyFill="1" applyBorder="1" applyAlignment="1" applyProtection="1">
      <alignment horizontal="center" vertical="center"/>
      <protection locked="0"/>
    </xf>
    <xf numFmtId="171" fontId="74" fillId="14" borderId="3" xfId="4" applyNumberFormat="1" applyFont="1" applyFill="1" applyAlignment="1" applyProtection="1">
      <alignment horizontal="center" vertical="center"/>
      <protection locked="0"/>
    </xf>
    <xf numFmtId="171" fontId="74" fillId="14" borderId="3" xfId="4" applyNumberFormat="1" applyFont="1" applyFill="1" applyAlignment="1" applyProtection="1">
      <alignment horizontal="center" vertical="center" wrapText="1"/>
      <protection locked="0"/>
    </xf>
    <xf numFmtId="0" fontId="74" fillId="14" borderId="3" xfId="4" applyFont="1" applyFill="1" applyAlignment="1" applyProtection="1">
      <alignment horizontal="right" vertical="center"/>
      <protection locked="0"/>
    </xf>
    <xf numFmtId="0" fontId="21" fillId="14" borderId="27" xfId="108" applyFont="1" applyFill="1" applyBorder="1" applyAlignment="1" applyProtection="1">
      <alignment horizontal="left" vertical="center" wrapText="1"/>
      <protection locked="0"/>
    </xf>
    <xf numFmtId="0" fontId="74" fillId="14" borderId="35" xfId="4" applyFont="1" applyFill="1" applyBorder="1" applyAlignment="1" applyProtection="1">
      <alignment horizontal="right" vertical="center"/>
      <protection locked="0"/>
    </xf>
    <xf numFmtId="171" fontId="74" fillId="14" borderId="3" xfId="4" applyNumberFormat="1" applyFont="1" applyFill="1" applyAlignment="1" applyProtection="1">
      <alignment vertical="center"/>
      <protection locked="0"/>
    </xf>
    <xf numFmtId="165" fontId="74" fillId="14" borderId="3" xfId="47" applyFont="1" applyFill="1" applyBorder="1" applyAlignment="1" applyProtection="1">
      <alignment vertical="center"/>
      <protection locked="0"/>
    </xf>
    <xf numFmtId="2" fontId="21" fillId="14" borderId="6" xfId="0" applyNumberFormat="1" applyFont="1" applyFill="1" applyBorder="1" applyAlignment="1" applyProtection="1">
      <alignment horizontal="center" vertical="center"/>
      <protection locked="0"/>
    </xf>
    <xf numFmtId="0" fontId="74" fillId="14" borderId="34" xfId="4" applyFont="1" applyFill="1" applyBorder="1" applyAlignment="1" applyProtection="1">
      <alignment horizontal="center" vertical="center" wrapText="1"/>
      <protection locked="0"/>
    </xf>
    <xf numFmtId="0" fontId="74" fillId="14" borderId="34" xfId="4" applyFont="1" applyFill="1" applyBorder="1" applyAlignment="1" applyProtection="1">
      <alignment horizontal="center" vertical="center"/>
      <protection locked="0"/>
    </xf>
    <xf numFmtId="164" fontId="74" fillId="16" borderId="35" xfId="1" applyFont="1" applyFill="1" applyBorder="1" applyAlignment="1" applyProtection="1">
      <alignment horizontal="center" vertical="center"/>
      <protection locked="0"/>
    </xf>
    <xf numFmtId="164" fontId="74" fillId="16" borderId="46" xfId="1" applyFont="1" applyFill="1" applyBorder="1" applyAlignment="1" applyProtection="1">
      <alignment horizontal="center" vertical="center"/>
      <protection locked="0"/>
    </xf>
    <xf numFmtId="0" fontId="69" fillId="0" borderId="0" xfId="0" applyFont="1" applyAlignment="1">
      <alignment vertical="center" wrapText="1"/>
    </xf>
    <xf numFmtId="166" fontId="78" fillId="6" borderId="0" xfId="0" applyNumberFormat="1" applyFont="1" applyFill="1" applyAlignment="1">
      <alignment vertical="center"/>
    </xf>
    <xf numFmtId="0" fontId="21" fillId="8" borderId="26" xfId="108" applyFont="1" applyAlignment="1" applyProtection="1">
      <alignment vertical="center" wrapText="1"/>
    </xf>
    <xf numFmtId="0" fontId="36" fillId="8" borderId="80" xfId="108" applyFont="1" applyBorder="1" applyAlignment="1" applyProtection="1">
      <alignment horizontal="left" vertical="top"/>
    </xf>
    <xf numFmtId="0" fontId="21" fillId="8" borderId="26" xfId="108" applyFont="1" applyAlignment="1" applyProtection="1">
      <alignment vertical="center"/>
    </xf>
    <xf numFmtId="0" fontId="36" fillId="8" borderId="54" xfId="108" applyFont="1" applyBorder="1" applyAlignment="1" applyProtection="1">
      <alignment horizontal="left" vertical="top"/>
    </xf>
    <xf numFmtId="0" fontId="21" fillId="0" borderId="6" xfId="1" applyNumberFormat="1" applyFont="1" applyBorder="1" applyAlignment="1" applyProtection="1">
      <alignment horizontal="center" vertical="center"/>
    </xf>
    <xf numFmtId="0" fontId="21" fillId="8" borderId="57" xfId="108" applyFont="1" applyBorder="1" applyAlignment="1" applyProtection="1">
      <alignment horizontal="left" vertical="top" wrapText="1"/>
    </xf>
    <xf numFmtId="167" fontId="81" fillId="3" borderId="13" xfId="103" applyNumberFormat="1" applyFont="1" applyAlignment="1" applyProtection="1">
      <alignment vertical="center"/>
    </xf>
    <xf numFmtId="0" fontId="21" fillId="8" borderId="55" xfId="108" applyFont="1" applyBorder="1" applyAlignment="1" applyProtection="1">
      <alignment horizontal="left" vertical="top" wrapText="1"/>
    </xf>
    <xf numFmtId="0" fontId="21" fillId="8" borderId="70" xfId="108" applyFont="1" applyBorder="1" applyAlignment="1" applyProtection="1">
      <alignment horizontal="left" vertical="top" wrapText="1"/>
    </xf>
    <xf numFmtId="0" fontId="21" fillId="8" borderId="27" xfId="108" applyFont="1" applyBorder="1" applyAlignment="1" applyProtection="1">
      <alignment vertical="center"/>
    </xf>
    <xf numFmtId="0" fontId="36" fillId="8" borderId="54" xfId="108" applyFont="1" applyBorder="1" applyAlignment="1" applyProtection="1">
      <alignment vertical="top"/>
    </xf>
    <xf numFmtId="0" fontId="21" fillId="8" borderId="55" xfId="108" applyFont="1" applyBorder="1" applyAlignment="1" applyProtection="1">
      <alignment vertical="top"/>
    </xf>
    <xf numFmtId="0" fontId="21" fillId="8" borderId="53" xfId="108" applyFont="1" applyBorder="1" applyAlignment="1" applyProtection="1">
      <alignment vertical="top"/>
    </xf>
    <xf numFmtId="0" fontId="21" fillId="8" borderId="70" xfId="108" applyFont="1" applyBorder="1" applyAlignment="1" applyProtection="1">
      <alignment vertical="top"/>
    </xf>
    <xf numFmtId="0" fontId="21" fillId="8" borderId="56" xfId="108" applyFont="1" applyBorder="1" applyAlignment="1" applyProtection="1">
      <alignment vertical="top"/>
    </xf>
    <xf numFmtId="0" fontId="21" fillId="8" borderId="57" xfId="108" applyFont="1" applyBorder="1" applyAlignment="1" applyProtection="1">
      <alignment vertical="top"/>
    </xf>
    <xf numFmtId="0" fontId="36" fillId="8" borderId="54" xfId="108" applyFont="1" applyBorder="1" applyAlignment="1" applyProtection="1">
      <alignment horizontal="left" vertical="top" wrapText="1"/>
    </xf>
    <xf numFmtId="0" fontId="21" fillId="6" borderId="49" xfId="108" applyFont="1" applyFill="1" applyBorder="1" applyAlignment="1" applyProtection="1">
      <alignment horizontal="left" vertical="top"/>
    </xf>
    <xf numFmtId="0" fontId="36" fillId="8" borderId="53" xfId="108" applyFont="1" applyBorder="1" applyAlignment="1" applyProtection="1">
      <alignment horizontal="left" vertical="top"/>
    </xf>
    <xf numFmtId="0" fontId="36" fillId="8" borderId="56" xfId="108" applyFont="1" applyBorder="1" applyAlignment="1" applyProtection="1">
      <alignment horizontal="left" vertical="top"/>
    </xf>
    <xf numFmtId="167" fontId="21" fillId="15" borderId="6" xfId="1" applyNumberFormat="1" applyFont="1" applyFill="1" applyBorder="1" applyAlignment="1" applyProtection="1">
      <alignment horizontal="center" vertical="center"/>
    </xf>
    <xf numFmtId="0" fontId="21" fillId="6" borderId="54" xfId="108" applyFont="1" applyFill="1" applyBorder="1" applyAlignment="1" applyProtection="1">
      <alignment horizontal="left" vertical="top"/>
    </xf>
    <xf numFmtId="0" fontId="82" fillId="6" borderId="31" xfId="108" applyFont="1" applyFill="1" applyBorder="1" applyAlignment="1" applyProtection="1">
      <alignment horizontal="right" vertical="top"/>
    </xf>
    <xf numFmtId="0" fontId="82" fillId="6" borderId="0" xfId="108" applyFont="1" applyFill="1" applyBorder="1" applyAlignment="1" applyProtection="1">
      <alignment horizontal="right" vertical="center"/>
    </xf>
    <xf numFmtId="0" fontId="21" fillId="8" borderId="26" xfId="108" applyFont="1" applyAlignment="1" applyProtection="1">
      <alignment vertical="top" wrapText="1"/>
    </xf>
    <xf numFmtId="166" fontId="81" fillId="3" borderId="44" xfId="103" applyNumberFormat="1" applyFont="1" applyBorder="1" applyAlignment="1" applyProtection="1">
      <alignment vertical="center"/>
    </xf>
    <xf numFmtId="167" fontId="81" fillId="3" borderId="36" xfId="1" applyNumberFormat="1" applyFont="1" applyFill="1" applyBorder="1" applyAlignment="1" applyProtection="1">
      <alignment horizontal="center" vertical="center"/>
    </xf>
    <xf numFmtId="167" fontId="81" fillId="3" borderId="36" xfId="103" applyNumberFormat="1" applyFont="1" applyBorder="1" applyAlignment="1" applyProtection="1">
      <alignment horizontal="center" vertical="center"/>
    </xf>
    <xf numFmtId="0" fontId="21" fillId="8" borderId="54" xfId="108" applyFont="1" applyBorder="1" applyAlignment="1" applyProtection="1">
      <alignment vertical="top"/>
    </xf>
    <xf numFmtId="164" fontId="21" fillId="0" borderId="6" xfId="1" applyFont="1" applyBorder="1" applyAlignment="1" applyProtection="1">
      <alignment horizontal="center" vertical="center"/>
    </xf>
    <xf numFmtId="167" fontId="81" fillId="3" borderId="44" xfId="103" applyNumberFormat="1" applyFont="1" applyBorder="1" applyAlignment="1" applyProtection="1">
      <alignment vertical="center"/>
    </xf>
    <xf numFmtId="0" fontId="21" fillId="8" borderId="71" xfId="108" applyFont="1" applyBorder="1" applyAlignment="1" applyProtection="1">
      <alignment vertical="top" wrapText="1"/>
    </xf>
    <xf numFmtId="0" fontId="21" fillId="8" borderId="55" xfId="108" applyFont="1" applyBorder="1" applyAlignment="1" applyProtection="1">
      <alignment vertical="top" wrapText="1"/>
    </xf>
    <xf numFmtId="0" fontId="80" fillId="0" borderId="0" xfId="109" applyFont="1" applyAlignment="1" applyProtection="1">
      <alignment vertical="top"/>
    </xf>
    <xf numFmtId="0" fontId="36" fillId="14" borderId="72" xfId="108" applyFont="1" applyFill="1" applyBorder="1" applyAlignment="1" applyProtection="1">
      <alignment horizontal="left" vertical="top" wrapText="1"/>
      <protection locked="0"/>
    </xf>
    <xf numFmtId="0" fontId="75" fillId="14" borderId="3" xfId="4" applyFont="1" applyFill="1" applyAlignment="1" applyProtection="1">
      <alignment horizontal="center" vertical="center" wrapText="1"/>
      <protection locked="0"/>
    </xf>
    <xf numFmtId="175" fontId="21" fillId="14" borderId="6" xfId="47" applyNumberFormat="1" applyFont="1" applyFill="1" applyBorder="1" applyAlignment="1" applyProtection="1">
      <alignment horizontal="center" vertical="center"/>
      <protection locked="0"/>
    </xf>
    <xf numFmtId="2" fontId="21" fillId="14" borderId="6" xfId="47" applyNumberFormat="1" applyFont="1" applyFill="1" applyBorder="1" applyAlignment="1" applyProtection="1">
      <alignment horizontal="center" vertical="center"/>
      <protection locked="0"/>
    </xf>
    <xf numFmtId="2" fontId="21" fillId="14" borderId="6" xfId="47" applyNumberFormat="1" applyFont="1" applyFill="1" applyBorder="1" applyAlignment="1" applyProtection="1">
      <alignment horizontal="center" vertical="center" wrapText="1"/>
      <protection locked="0"/>
    </xf>
    <xf numFmtId="177" fontId="21" fillId="14" borderId="6" xfId="47" applyNumberFormat="1" applyFont="1" applyFill="1" applyBorder="1" applyAlignment="1" applyProtection="1">
      <alignment horizontal="center" vertical="center"/>
      <protection locked="0"/>
    </xf>
    <xf numFmtId="175" fontId="21" fillId="14" borderId="6" xfId="62" applyNumberFormat="1" applyFont="1" applyFill="1" applyBorder="1" applyAlignment="1" applyProtection="1">
      <alignment horizontal="center" vertical="center"/>
      <protection locked="0"/>
    </xf>
    <xf numFmtId="0" fontId="74" fillId="14" borderId="34" xfId="4" applyFont="1" applyFill="1" applyBorder="1" applyAlignment="1" applyProtection="1">
      <alignment horizontal="left" vertical="center" wrapText="1"/>
      <protection locked="0"/>
    </xf>
    <xf numFmtId="2" fontId="74" fillId="14" borderId="6" xfId="4" applyNumberFormat="1" applyFont="1" applyFill="1" applyBorder="1" applyAlignment="1" applyProtection="1">
      <alignment horizontal="center" vertical="center"/>
      <protection locked="0"/>
    </xf>
    <xf numFmtId="168" fontId="74" fillId="14" borderId="46" xfId="4" applyNumberFormat="1" applyFont="1" applyFill="1" applyBorder="1" applyAlignment="1" applyProtection="1">
      <alignment horizontal="center" vertical="center" wrapText="1"/>
      <protection locked="0"/>
    </xf>
    <xf numFmtId="2" fontId="74" fillId="14" borderId="6" xfId="47" applyNumberFormat="1" applyFont="1" applyFill="1" applyBorder="1" applyAlignment="1" applyProtection="1">
      <alignment horizontal="center" vertical="center" wrapText="1"/>
      <protection locked="0"/>
    </xf>
    <xf numFmtId="168" fontId="21" fillId="14" borderId="6" xfId="47" applyNumberFormat="1" applyFont="1" applyFill="1" applyBorder="1" applyAlignment="1" applyProtection="1">
      <alignment horizontal="center" vertical="center"/>
      <protection locked="0"/>
    </xf>
    <xf numFmtId="168" fontId="74" fillId="14" borderId="34" xfId="4" applyNumberFormat="1" applyFont="1" applyFill="1" applyBorder="1" applyAlignment="1" applyProtection="1">
      <alignment horizontal="center" vertical="center" wrapText="1"/>
      <protection locked="0"/>
    </xf>
    <xf numFmtId="165" fontId="21" fillId="14" borderId="6" xfId="47" applyFont="1" applyFill="1" applyBorder="1" applyAlignment="1" applyProtection="1">
      <alignment horizontal="center" vertical="center"/>
      <protection locked="0"/>
    </xf>
    <xf numFmtId="0" fontId="74" fillId="14" borderId="97" xfId="4" applyFont="1" applyFill="1" applyBorder="1" applyAlignment="1" applyProtection="1">
      <alignment vertical="top"/>
      <protection locked="0"/>
    </xf>
    <xf numFmtId="0" fontId="74" fillId="14" borderId="3" xfId="4" applyFont="1" applyFill="1" applyAlignment="1" applyProtection="1">
      <alignment vertical="top"/>
      <protection locked="0"/>
    </xf>
    <xf numFmtId="167" fontId="74" fillId="14" borderId="3" xfId="1" applyNumberFormat="1" applyFont="1" applyFill="1" applyBorder="1" applyAlignment="1" applyProtection="1">
      <alignment vertical="center"/>
      <protection locked="0"/>
    </xf>
    <xf numFmtId="0" fontId="21" fillId="14" borderId="6" xfId="0" applyFont="1" applyFill="1" applyBorder="1" applyAlignment="1" applyProtection="1">
      <alignment horizontal="left" vertical="center"/>
      <protection locked="0"/>
    </xf>
    <xf numFmtId="168" fontId="74" fillId="14" borderId="6" xfId="4" applyNumberFormat="1" applyFont="1" applyFill="1" applyBorder="1" applyAlignment="1" applyProtection="1">
      <alignment vertical="center"/>
      <protection locked="0"/>
    </xf>
    <xf numFmtId="0" fontId="74" fillId="14" borderId="6" xfId="4" applyFont="1" applyFill="1" applyBorder="1" applyAlignment="1" applyProtection="1">
      <alignment horizontal="center" vertical="center"/>
      <protection locked="0"/>
    </xf>
    <xf numFmtId="164" fontId="74" fillId="16" borderId="6" xfId="1" applyFont="1" applyFill="1" applyBorder="1" applyAlignment="1" applyProtection="1">
      <alignment horizontal="center" vertical="center"/>
      <protection locked="0"/>
    </xf>
    <xf numFmtId="0" fontId="59" fillId="0" borderId="0" xfId="0" applyFont="1" applyAlignment="1">
      <alignment horizontal="center" vertical="center"/>
    </xf>
    <xf numFmtId="0" fontId="78" fillId="6" borderId="0" xfId="0" applyFont="1" applyFill="1" applyAlignment="1">
      <alignment horizontal="left" vertical="center" indent="1"/>
    </xf>
    <xf numFmtId="166" fontId="75" fillId="0" borderId="14" xfId="104" applyNumberFormat="1" applyFont="1" applyFill="1" applyAlignment="1" applyProtection="1">
      <alignment horizontal="center" vertical="center"/>
    </xf>
    <xf numFmtId="0" fontId="86" fillId="0" borderId="0" xfId="0" applyFont="1" applyAlignment="1">
      <alignment vertical="center"/>
    </xf>
    <xf numFmtId="0" fontId="82" fillId="6" borderId="27" xfId="108" applyFont="1" applyFill="1" applyBorder="1" applyAlignment="1" applyProtection="1">
      <alignment horizontal="left" vertical="center"/>
    </xf>
    <xf numFmtId="0" fontId="82" fillId="6" borderId="26" xfId="108" applyFont="1" applyFill="1" applyAlignment="1" applyProtection="1">
      <alignment horizontal="left" vertical="center"/>
    </xf>
    <xf numFmtId="0" fontId="78" fillId="6" borderId="85" xfId="3" applyFont="1" applyFill="1" applyBorder="1" applyAlignment="1" applyProtection="1">
      <alignment horizontal="center" vertical="center" wrapText="1"/>
    </xf>
    <xf numFmtId="0" fontId="36" fillId="8" borderId="66" xfId="108" applyFont="1" applyBorder="1" applyAlignment="1" applyProtection="1">
      <alignment horizontal="left" vertical="top"/>
    </xf>
    <xf numFmtId="167" fontId="78" fillId="6" borderId="0" xfId="1" applyNumberFormat="1" applyFont="1" applyFill="1" applyAlignment="1" applyProtection="1">
      <alignment horizontal="center" vertical="center"/>
    </xf>
    <xf numFmtId="0" fontId="36" fillId="8" borderId="71" xfId="108" applyFont="1" applyBorder="1" applyAlignment="1" applyProtection="1">
      <alignment vertical="top" wrapText="1"/>
    </xf>
    <xf numFmtId="0" fontId="21" fillId="8" borderId="74" xfId="108" applyFont="1" applyBorder="1" applyAlignment="1" applyProtection="1">
      <alignment vertical="top"/>
    </xf>
    <xf numFmtId="0" fontId="21" fillId="8" borderId="30" xfId="108" applyFont="1" applyBorder="1" applyAlignment="1" applyProtection="1">
      <alignment vertical="top"/>
    </xf>
    <xf numFmtId="0" fontId="21" fillId="8" borderId="67" xfId="108" applyFont="1" applyBorder="1" applyAlignment="1" applyProtection="1">
      <alignment vertical="top" wrapText="1"/>
    </xf>
    <xf numFmtId="0" fontId="21" fillId="8" borderId="73" xfId="108" applyFont="1" applyBorder="1" applyAlignment="1" applyProtection="1">
      <alignment vertical="top" wrapText="1"/>
    </xf>
    <xf numFmtId="0" fontId="36" fillId="8" borderId="75" xfId="108" applyFont="1" applyBorder="1" applyAlignment="1" applyProtection="1">
      <alignment horizontal="left" vertical="top" wrapText="1"/>
    </xf>
    <xf numFmtId="0" fontId="21" fillId="8" borderId="20" xfId="108" applyFont="1" applyBorder="1" applyAlignment="1" applyProtection="1">
      <alignment horizontal="left" vertical="top"/>
    </xf>
    <xf numFmtId="0" fontId="21" fillId="8" borderId="76" xfId="108" applyFont="1" applyBorder="1" applyAlignment="1" applyProtection="1">
      <alignment horizontal="left" vertical="top"/>
    </xf>
    <xf numFmtId="0" fontId="21" fillId="6" borderId="56" xfId="108" applyFont="1" applyFill="1" applyBorder="1" applyAlignment="1" applyProtection="1">
      <alignment horizontal="left" vertical="top"/>
    </xf>
    <xf numFmtId="0" fontId="21" fillId="6" borderId="57" xfId="108" applyFont="1" applyFill="1" applyBorder="1" applyAlignment="1" applyProtection="1">
      <alignment horizontal="left" vertical="top"/>
    </xf>
    <xf numFmtId="167" fontId="81" fillId="3" borderId="13" xfId="1" applyNumberFormat="1" applyFont="1" applyFill="1" applyBorder="1" applyAlignment="1" applyProtection="1">
      <alignment vertical="center"/>
    </xf>
    <xf numFmtId="0" fontId="21" fillId="6" borderId="55" xfId="108" applyFont="1" applyFill="1" applyBorder="1" applyAlignment="1" applyProtection="1">
      <alignment horizontal="left" vertical="top"/>
    </xf>
    <xf numFmtId="0" fontId="36" fillId="8" borderId="79" xfId="108" applyFont="1" applyBorder="1" applyAlignment="1" applyProtection="1">
      <alignment vertical="top"/>
    </xf>
    <xf numFmtId="0" fontId="21" fillId="8" borderId="79" xfId="108" applyFont="1" applyBorder="1" applyAlignment="1" applyProtection="1">
      <alignment vertical="top" wrapText="1"/>
    </xf>
    <xf numFmtId="0" fontId="21" fillId="6" borderId="77" xfId="108" applyFont="1" applyFill="1" applyBorder="1" applyAlignment="1" applyProtection="1">
      <alignment horizontal="left" vertical="top"/>
    </xf>
    <xf numFmtId="0" fontId="21" fillId="6" borderId="78" xfId="108" applyFont="1" applyFill="1" applyBorder="1" applyAlignment="1" applyProtection="1">
      <alignment horizontal="left" vertical="top"/>
    </xf>
    <xf numFmtId="0" fontId="36" fillId="0" borderId="0" xfId="0" applyFont="1" applyAlignment="1">
      <alignment horizontal="center" vertical="center" textRotation="90" wrapText="1"/>
    </xf>
    <xf numFmtId="0" fontId="80" fillId="0" borderId="0" xfId="109" applyFont="1" applyAlignment="1" applyProtection="1">
      <alignment vertical="center"/>
    </xf>
    <xf numFmtId="0" fontId="21" fillId="14" borderId="26" xfId="108" applyFont="1" applyFill="1" applyAlignment="1" applyProtection="1">
      <alignment vertical="top"/>
      <protection locked="0"/>
    </xf>
    <xf numFmtId="0" fontId="36" fillId="14" borderId="34" xfId="4" applyFont="1" applyFill="1" applyBorder="1" applyAlignment="1" applyProtection="1">
      <alignment horizontal="center" vertical="center" wrapText="1"/>
      <protection locked="0"/>
    </xf>
    <xf numFmtId="0" fontId="21" fillId="14" borderId="26" xfId="108" applyFont="1" applyFill="1" applyAlignment="1" applyProtection="1">
      <alignment vertical="center" wrapText="1"/>
      <protection locked="0"/>
    </xf>
    <xf numFmtId="0" fontId="21" fillId="14" borderId="6" xfId="0" applyFont="1" applyFill="1" applyBorder="1" applyAlignment="1" applyProtection="1">
      <alignment horizontal="center" vertical="center" wrapText="1"/>
      <protection locked="0"/>
    </xf>
    <xf numFmtId="0" fontId="21" fillId="14" borderId="26" xfId="108" applyFont="1" applyFill="1" applyAlignment="1" applyProtection="1">
      <alignment vertical="center"/>
      <protection locked="0"/>
    </xf>
    <xf numFmtId="175" fontId="21" fillId="14" borderId="6" xfId="47" applyNumberFormat="1" applyFont="1" applyFill="1" applyBorder="1" applyAlignment="1" applyProtection="1">
      <alignment horizontal="center" vertical="center" wrapText="1"/>
      <protection locked="0"/>
    </xf>
    <xf numFmtId="168" fontId="21" fillId="14" borderId="46" xfId="4" applyNumberFormat="1" applyFont="1" applyFill="1" applyBorder="1" applyAlignment="1" applyProtection="1">
      <alignment horizontal="center" vertical="center" wrapText="1"/>
      <protection locked="0"/>
    </xf>
    <xf numFmtId="168" fontId="21" fillId="14" borderId="34" xfId="4" applyNumberFormat="1" applyFont="1" applyFill="1" applyBorder="1" applyAlignment="1" applyProtection="1">
      <alignment horizontal="center" vertical="center" wrapText="1"/>
      <protection locked="0"/>
    </xf>
    <xf numFmtId="0" fontId="21" fillId="14" borderId="27" xfId="108" applyFont="1" applyFill="1" applyBorder="1" applyAlignment="1" applyProtection="1">
      <alignment vertical="center"/>
      <protection locked="0"/>
    </xf>
    <xf numFmtId="0" fontId="21" fillId="14" borderId="26" xfId="108" applyFont="1" applyFill="1" applyAlignment="1" applyProtection="1">
      <alignment horizontal="left" vertical="center"/>
      <protection locked="0"/>
    </xf>
    <xf numFmtId="0" fontId="74" fillId="14" borderId="29" xfId="4" applyFont="1" applyFill="1" applyBorder="1" applyAlignment="1" applyProtection="1">
      <alignment vertical="top"/>
      <protection locked="0"/>
    </xf>
    <xf numFmtId="0" fontId="36" fillId="14" borderId="22" xfId="4" applyFont="1" applyFill="1" applyBorder="1" applyAlignment="1" applyProtection="1">
      <alignment horizontal="center" vertical="center" wrapText="1"/>
      <protection locked="0"/>
    </xf>
    <xf numFmtId="0" fontId="21" fillId="14" borderId="23" xfId="0" applyFont="1" applyFill="1" applyBorder="1" applyAlignment="1" applyProtection="1">
      <alignment horizontal="center" vertical="center" wrapText="1"/>
      <protection locked="0"/>
    </xf>
    <xf numFmtId="0" fontId="21" fillId="14" borderId="59" xfId="108" applyFont="1" applyFill="1" applyBorder="1" applyAlignment="1" applyProtection="1">
      <alignment vertical="center"/>
      <protection locked="0"/>
    </xf>
    <xf numFmtId="0" fontId="21" fillId="14" borderId="6" xfId="0" applyFont="1" applyFill="1" applyBorder="1" applyAlignment="1" applyProtection="1">
      <alignment vertical="center"/>
      <protection locked="0"/>
    </xf>
    <xf numFmtId="2" fontId="74" fillId="14" borderId="46" xfId="4" applyNumberFormat="1" applyFont="1" applyFill="1" applyBorder="1" applyAlignment="1" applyProtection="1">
      <alignment horizontal="center" vertical="center"/>
      <protection locked="0"/>
    </xf>
    <xf numFmtId="168" fontId="21" fillId="14" borderId="3" xfId="4" applyNumberFormat="1" applyFont="1" applyFill="1" applyAlignment="1" applyProtection="1">
      <alignment horizontal="center" vertical="center" wrapText="1"/>
      <protection locked="0"/>
    </xf>
    <xf numFmtId="168" fontId="74" fillId="14" borderId="46" xfId="4" applyNumberFormat="1" applyFont="1" applyFill="1" applyBorder="1" applyAlignment="1" applyProtection="1">
      <alignment horizontal="center" vertical="center"/>
      <protection locked="0"/>
    </xf>
    <xf numFmtId="164" fontId="21" fillId="16" borderId="6" xfId="1" applyFont="1" applyFill="1" applyBorder="1" applyAlignment="1" applyProtection="1">
      <alignment horizontal="center" vertical="center"/>
      <protection locked="0"/>
    </xf>
    <xf numFmtId="166" fontId="78" fillId="7" borderId="16" xfId="105" applyNumberFormat="1" applyFont="1" applyAlignment="1" applyProtection="1">
      <alignment horizontal="center" vertical="center"/>
    </xf>
    <xf numFmtId="0" fontId="82" fillId="6" borderId="70" xfId="108" applyFont="1" applyFill="1" applyBorder="1" applyAlignment="1" applyProtection="1">
      <alignment horizontal="left" vertical="center"/>
    </xf>
    <xf numFmtId="0" fontId="82" fillId="6" borderId="73" xfId="108" applyFont="1" applyFill="1" applyBorder="1" applyAlignment="1" applyProtection="1">
      <alignment horizontal="left" vertical="center"/>
    </xf>
    <xf numFmtId="0" fontId="36" fillId="8" borderId="66" xfId="108" applyFont="1" applyBorder="1" applyAlignment="1" applyProtection="1">
      <alignment vertical="top"/>
    </xf>
    <xf numFmtId="0" fontId="21" fillId="8" borderId="27" xfId="108" applyFont="1" applyBorder="1" applyAlignment="1" applyProtection="1">
      <alignment horizontal="left" vertical="top" wrapText="1"/>
    </xf>
    <xf numFmtId="0" fontId="21" fillId="8" borderId="66" xfId="108" applyFont="1" applyBorder="1" applyAlignment="1" applyProtection="1">
      <alignment vertical="top" wrapText="1"/>
    </xf>
    <xf numFmtId="167" fontId="21" fillId="0" borderId="6" xfId="1" applyNumberFormat="1" applyFont="1" applyBorder="1" applyAlignment="1" applyProtection="1">
      <alignment horizontal="center" vertical="center"/>
    </xf>
    <xf numFmtId="0" fontId="21" fillId="8" borderId="72" xfId="108" applyFont="1" applyBorder="1" applyAlignment="1" applyProtection="1">
      <alignment vertical="top" wrapText="1"/>
    </xf>
    <xf numFmtId="0" fontId="74" fillId="14" borderId="6" xfId="4" applyFont="1" applyFill="1" applyBorder="1" applyAlignment="1" applyProtection="1">
      <alignment horizontal="center" vertical="center" wrapText="1"/>
      <protection locked="0"/>
    </xf>
    <xf numFmtId="0" fontId="87" fillId="14" borderId="6" xfId="4" applyFont="1" applyFill="1" applyBorder="1" applyAlignment="1" applyProtection="1">
      <alignment horizontal="center" vertical="center" wrapText="1"/>
      <protection locked="0"/>
    </xf>
    <xf numFmtId="0" fontId="21" fillId="14" borderId="6" xfId="0" applyFont="1" applyFill="1" applyBorder="1" applyAlignment="1" applyProtection="1">
      <alignment horizontal="center" vertical="center"/>
      <protection locked="0"/>
    </xf>
    <xf numFmtId="0" fontId="21" fillId="14" borderId="6" xfId="0" applyFont="1" applyFill="1" applyBorder="1" applyAlignment="1" applyProtection="1">
      <alignment vertical="center" wrapText="1"/>
      <protection locked="0"/>
    </xf>
    <xf numFmtId="2" fontId="58" fillId="14" borderId="46" xfId="4" applyNumberFormat="1" applyFont="1" applyFill="1" applyBorder="1" applyAlignment="1" applyProtection="1">
      <alignment horizontal="center" vertical="center"/>
      <protection locked="0"/>
    </xf>
    <xf numFmtId="168" fontId="58" fillId="14" borderId="46" xfId="4" applyNumberFormat="1" applyFont="1" applyFill="1" applyBorder="1" applyAlignment="1" applyProtection="1">
      <alignment horizontal="center" vertical="center"/>
      <protection locked="0"/>
    </xf>
    <xf numFmtId="0" fontId="58" fillId="14" borderId="46" xfId="4" applyFont="1" applyFill="1" applyBorder="1" applyAlignment="1" applyProtection="1">
      <alignment horizontal="center" vertical="center"/>
      <protection locked="0"/>
    </xf>
    <xf numFmtId="0" fontId="58" fillId="14" borderId="98" xfId="4" applyFont="1" applyFill="1" applyBorder="1" applyAlignment="1" applyProtection="1">
      <alignment vertical="center"/>
      <protection locked="0"/>
    </xf>
    <xf numFmtId="0" fontId="58" fillId="14" borderId="29" xfId="4" applyFont="1" applyFill="1" applyBorder="1" applyAlignment="1" applyProtection="1">
      <alignment vertical="center"/>
      <protection locked="0"/>
    </xf>
    <xf numFmtId="167" fontId="58" fillId="14" borderId="3" xfId="1" applyNumberFormat="1" applyFont="1" applyFill="1" applyBorder="1" applyAlignment="1" applyProtection="1">
      <alignment vertical="center"/>
      <protection locked="0"/>
    </xf>
    <xf numFmtId="164" fontId="58" fillId="16" borderId="35" xfId="1" applyFont="1" applyFill="1" applyBorder="1" applyAlignment="1" applyProtection="1">
      <alignment horizontal="center" vertical="center"/>
      <protection locked="0"/>
    </xf>
    <xf numFmtId="0" fontId="82" fillId="6" borderId="55" xfId="108" applyFont="1" applyFill="1" applyBorder="1" applyAlignment="1" applyProtection="1">
      <alignment horizontal="left" vertical="center"/>
    </xf>
    <xf numFmtId="0" fontId="82" fillId="6" borderId="67" xfId="108" applyFont="1" applyFill="1" applyBorder="1" applyAlignment="1" applyProtection="1">
      <alignment horizontal="left" vertical="center"/>
    </xf>
    <xf numFmtId="0" fontId="82" fillId="6" borderId="34" xfId="4" applyFont="1" applyFill="1" applyBorder="1" applyAlignment="1" applyProtection="1">
      <alignment horizontal="center" vertical="center"/>
    </xf>
    <xf numFmtId="0" fontId="36" fillId="8" borderId="66" xfId="108" applyFont="1" applyBorder="1" applyAlignment="1" applyProtection="1">
      <alignment horizontal="left" vertical="center"/>
    </xf>
    <xf numFmtId="0" fontId="36" fillId="8" borderId="84" xfId="108" applyFont="1" applyBorder="1" applyAlignment="1" applyProtection="1">
      <alignment horizontal="left" vertical="center"/>
    </xf>
    <xf numFmtId="0" fontId="21" fillId="8" borderId="59" xfId="108" applyFont="1" applyBorder="1" applyAlignment="1" applyProtection="1">
      <alignment horizontal="left" vertical="center" wrapText="1"/>
    </xf>
    <xf numFmtId="0" fontId="21" fillId="8" borderId="67" xfId="108" applyFont="1" applyBorder="1" applyAlignment="1" applyProtection="1">
      <alignment horizontal="left" vertical="center" wrapText="1"/>
    </xf>
    <xf numFmtId="0" fontId="21" fillId="8" borderId="66" xfId="108" applyFont="1" applyBorder="1" applyAlignment="1" applyProtection="1">
      <alignment horizontal="left" vertical="center"/>
    </xf>
    <xf numFmtId="0" fontId="21" fillId="8" borderId="73" xfId="108" applyFont="1" applyBorder="1" applyAlignment="1" applyProtection="1">
      <alignment horizontal="left" vertical="center" wrapText="1"/>
    </xf>
    <xf numFmtId="0" fontId="21" fillId="8" borderId="27" xfId="108" applyFont="1" applyBorder="1" applyAlignment="1" applyProtection="1">
      <alignment horizontal="left" vertical="center"/>
    </xf>
    <xf numFmtId="0" fontId="21" fillId="8" borderId="72" xfId="108" applyFont="1" applyBorder="1" applyAlignment="1" applyProtection="1">
      <alignment horizontal="left" vertical="center"/>
    </xf>
    <xf numFmtId="0" fontId="21" fillId="8" borderId="71" xfId="108" applyFont="1" applyBorder="1" applyAlignment="1" applyProtection="1">
      <alignment horizontal="left" vertical="center"/>
    </xf>
    <xf numFmtId="0" fontId="21" fillId="6" borderId="84" xfId="108" applyFont="1" applyFill="1" applyBorder="1" applyAlignment="1" applyProtection="1">
      <alignment horizontal="left" vertical="center"/>
    </xf>
    <xf numFmtId="0" fontId="21" fillId="6" borderId="27" xfId="108" applyFont="1" applyFill="1" applyBorder="1" applyAlignment="1" applyProtection="1">
      <alignment horizontal="left" vertical="center"/>
    </xf>
    <xf numFmtId="0" fontId="82" fillId="6" borderId="27" xfId="108" applyFont="1" applyFill="1" applyBorder="1" applyAlignment="1" applyProtection="1">
      <alignment horizontal="right" vertical="center"/>
    </xf>
    <xf numFmtId="0" fontId="36" fillId="8" borderId="71" xfId="108" applyFont="1" applyBorder="1" applyAlignment="1" applyProtection="1">
      <alignment horizontal="left" vertical="center"/>
    </xf>
    <xf numFmtId="2" fontId="21" fillId="14" borderId="26" xfId="108" applyNumberFormat="1" applyFont="1" applyFill="1" applyAlignment="1" applyProtection="1">
      <alignment horizontal="left" vertical="center" wrapText="1"/>
      <protection locked="0"/>
    </xf>
    <xf numFmtId="2" fontId="21" fillId="14" borderId="26" xfId="108" applyNumberFormat="1" applyFont="1" applyFill="1" applyAlignment="1" applyProtection="1">
      <alignment horizontal="center" vertical="center" wrapText="1"/>
      <protection locked="0"/>
    </xf>
    <xf numFmtId="1" fontId="73" fillId="14" borderId="13" xfId="103" applyNumberFormat="1" applyFont="1" applyFill="1" applyAlignment="1" applyProtection="1">
      <alignment horizontal="center" vertical="center"/>
      <protection locked="0"/>
    </xf>
    <xf numFmtId="1" fontId="73" fillId="14" borderId="44" xfId="103" applyNumberFormat="1" applyFont="1" applyFill="1" applyBorder="1" applyAlignment="1" applyProtection="1">
      <alignment horizontal="center" vertical="center"/>
      <protection locked="0"/>
    </xf>
    <xf numFmtId="168" fontId="73" fillId="14" borderId="44" xfId="47" applyNumberFormat="1" applyFont="1" applyFill="1" applyBorder="1" applyAlignment="1" applyProtection="1">
      <alignment horizontal="center" vertical="center"/>
      <protection locked="0"/>
    </xf>
    <xf numFmtId="171" fontId="21" fillId="14" borderId="6" xfId="0" applyNumberFormat="1" applyFont="1" applyFill="1" applyBorder="1" applyAlignment="1" applyProtection="1">
      <alignment horizontal="center" vertical="center" wrapText="1"/>
      <protection locked="0"/>
    </xf>
    <xf numFmtId="1" fontId="21" fillId="14" borderId="6" xfId="0" applyNumberFormat="1" applyFont="1" applyFill="1" applyBorder="1" applyAlignment="1" applyProtection="1">
      <alignment horizontal="center" vertical="center"/>
      <protection locked="0"/>
    </xf>
    <xf numFmtId="171" fontId="21" fillId="14" borderId="6" xfId="0" applyNumberFormat="1" applyFont="1" applyFill="1" applyBorder="1" applyAlignment="1" applyProtection="1">
      <alignment horizontal="center" vertical="center"/>
      <protection locked="0"/>
    </xf>
    <xf numFmtId="168" fontId="73" fillId="14" borderId="13" xfId="47" applyNumberFormat="1" applyFont="1" applyFill="1" applyBorder="1" applyAlignment="1" applyProtection="1">
      <alignment vertical="center"/>
      <protection locked="0"/>
    </xf>
    <xf numFmtId="0" fontId="74" fillId="14" borderId="46" xfId="4" applyFont="1" applyFill="1" applyBorder="1" applyAlignment="1" applyProtection="1">
      <alignment horizontal="center" vertical="center"/>
      <protection locked="0"/>
    </xf>
    <xf numFmtId="0" fontId="74" fillId="14" borderId="98" xfId="4" applyFont="1" applyFill="1" applyBorder="1" applyAlignment="1" applyProtection="1">
      <alignment vertical="center"/>
      <protection locked="0"/>
    </xf>
    <xf numFmtId="0" fontId="74" fillId="14" borderId="29" xfId="4" applyFont="1" applyFill="1" applyBorder="1" applyAlignment="1" applyProtection="1">
      <alignment vertical="center"/>
      <protection locked="0"/>
    </xf>
    <xf numFmtId="0" fontId="90" fillId="0" borderId="0" xfId="109" applyFont="1" applyAlignment="1" applyProtection="1">
      <alignment vertical="center"/>
    </xf>
    <xf numFmtId="0" fontId="21" fillId="14" borderId="26" xfId="108" applyFont="1" applyFill="1" applyAlignment="1" applyProtection="1">
      <alignment horizontal="center" vertical="center" wrapText="1"/>
      <protection locked="0"/>
    </xf>
    <xf numFmtId="168" fontId="21" fillId="14" borderId="6" xfId="47" applyNumberFormat="1" applyFont="1" applyFill="1" applyBorder="1" applyAlignment="1" applyProtection="1">
      <alignment horizontal="center" vertical="center" wrapText="1"/>
      <protection locked="0"/>
    </xf>
    <xf numFmtId="0" fontId="74" fillId="14" borderId="97" xfId="4" applyFont="1" applyFill="1" applyBorder="1" applyAlignment="1" applyProtection="1">
      <alignment vertical="center"/>
      <protection locked="0"/>
    </xf>
    <xf numFmtId="0" fontId="82" fillId="6" borderId="0" xfId="0" applyFont="1" applyFill="1" applyAlignment="1">
      <alignment horizontal="right" vertical="center"/>
    </xf>
    <xf numFmtId="0" fontId="36" fillId="8" borderId="72" xfId="108" applyFont="1" applyBorder="1" applyAlignment="1" applyProtection="1">
      <alignment vertical="top"/>
    </xf>
    <xf numFmtId="0" fontId="21" fillId="8" borderId="84" xfId="108" applyFont="1" applyBorder="1" applyAlignment="1" applyProtection="1">
      <alignment vertical="top"/>
    </xf>
    <xf numFmtId="0" fontId="21" fillId="6" borderId="84" xfId="108" applyFont="1" applyFill="1" applyBorder="1" applyAlignment="1" applyProtection="1">
      <alignment vertical="top"/>
    </xf>
    <xf numFmtId="0" fontId="21" fillId="6" borderId="27" xfId="108" applyFont="1" applyFill="1" applyBorder="1" applyAlignment="1" applyProtection="1">
      <alignment vertical="top"/>
    </xf>
    <xf numFmtId="0" fontId="36" fillId="8" borderId="71" xfId="108" applyFont="1" applyBorder="1" applyAlignment="1" applyProtection="1">
      <alignment vertical="top"/>
    </xf>
    <xf numFmtId="0" fontId="21" fillId="8" borderId="26" xfId="108" applyFont="1" applyAlignment="1" applyProtection="1">
      <alignment horizontal="left" vertical="center"/>
    </xf>
    <xf numFmtId="0" fontId="21" fillId="8" borderId="66" xfId="108" applyFont="1" applyBorder="1" applyAlignment="1" applyProtection="1">
      <alignment vertical="center"/>
    </xf>
    <xf numFmtId="0" fontId="21" fillId="8" borderId="73" xfId="108" applyFont="1" applyBorder="1" applyAlignment="1" applyProtection="1">
      <alignment vertical="center"/>
    </xf>
    <xf numFmtId="0" fontId="21" fillId="8" borderId="72" xfId="108" applyFont="1" applyBorder="1" applyAlignment="1" applyProtection="1">
      <alignment vertical="center"/>
    </xf>
    <xf numFmtId="0" fontId="21" fillId="8" borderId="59" xfId="108" applyFont="1" applyBorder="1" applyAlignment="1" applyProtection="1">
      <alignment vertical="center"/>
    </xf>
    <xf numFmtId="0" fontId="21" fillId="8" borderId="53" xfId="108" applyFont="1" applyBorder="1" applyAlignment="1" applyProtection="1">
      <alignment horizontal="left" vertical="center"/>
    </xf>
    <xf numFmtId="0" fontId="21" fillId="8" borderId="70" xfId="108" applyFont="1" applyBorder="1" applyAlignment="1" applyProtection="1">
      <alignment horizontal="left" vertical="center"/>
    </xf>
    <xf numFmtId="0" fontId="21" fillId="8" borderId="56" xfId="108" applyFont="1" applyBorder="1" applyAlignment="1" applyProtection="1">
      <alignment horizontal="left" vertical="center"/>
    </xf>
    <xf numFmtId="0" fontId="21" fillId="8" borderId="57" xfId="108" applyFont="1" applyBorder="1" applyAlignment="1" applyProtection="1">
      <alignment horizontal="left" vertical="center"/>
    </xf>
    <xf numFmtId="0" fontId="21" fillId="6" borderId="54" xfId="108" applyFont="1" applyFill="1" applyBorder="1" applyAlignment="1" applyProtection="1">
      <alignment horizontal="left" vertical="center"/>
    </xf>
    <xf numFmtId="0" fontId="21" fillId="6" borderId="55" xfId="108" applyFont="1" applyFill="1" applyBorder="1" applyAlignment="1" applyProtection="1">
      <alignment horizontal="left" vertical="center"/>
    </xf>
    <xf numFmtId="0" fontId="82" fillId="6" borderId="31" xfId="108" applyFont="1" applyFill="1" applyBorder="1" applyAlignment="1" applyProtection="1">
      <alignment horizontal="right" vertical="center"/>
    </xf>
    <xf numFmtId="0" fontId="21" fillId="8" borderId="53" xfId="108" applyFont="1" applyBorder="1" applyAlignment="1" applyProtection="1">
      <alignment vertical="center"/>
    </xf>
    <xf numFmtId="0" fontId="21" fillId="8" borderId="70" xfId="108" applyFont="1" applyBorder="1" applyAlignment="1" applyProtection="1">
      <alignment vertical="center"/>
    </xf>
    <xf numFmtId="0" fontId="21" fillId="8" borderId="56" xfId="108" applyFont="1" applyBorder="1" applyAlignment="1" applyProtection="1">
      <alignment vertical="center"/>
    </xf>
    <xf numFmtId="0" fontId="21" fillId="8" borderId="57" xfId="108" applyFont="1" applyBorder="1" applyAlignment="1" applyProtection="1">
      <alignment vertical="center"/>
    </xf>
    <xf numFmtId="0" fontId="21" fillId="6" borderId="60" xfId="108" applyFont="1" applyFill="1" applyBorder="1" applyAlignment="1" applyProtection="1">
      <alignment horizontal="left" vertical="center"/>
    </xf>
    <xf numFmtId="0" fontId="21" fillId="8" borderId="67" xfId="108" applyFont="1" applyBorder="1" applyAlignment="1" applyProtection="1">
      <alignment vertical="center"/>
    </xf>
    <xf numFmtId="2" fontId="21" fillId="14" borderId="26" xfId="108" applyNumberFormat="1" applyFont="1" applyFill="1" applyAlignment="1" applyProtection="1">
      <alignment horizontal="center" vertical="center"/>
      <protection locked="0"/>
    </xf>
    <xf numFmtId="175" fontId="74" fillId="14" borderId="3" xfId="47" applyNumberFormat="1" applyFont="1" applyFill="1" applyBorder="1" applyAlignment="1" applyProtection="1">
      <alignment horizontal="center" vertical="center"/>
      <protection locked="0"/>
    </xf>
    <xf numFmtId="177" fontId="74" fillId="14" borderId="3" xfId="47" applyNumberFormat="1" applyFont="1" applyFill="1" applyBorder="1" applyAlignment="1" applyProtection="1">
      <alignment vertical="center"/>
      <protection locked="0"/>
    </xf>
    <xf numFmtId="177" fontId="74" fillId="14" borderId="34" xfId="47" applyNumberFormat="1" applyFont="1" applyFill="1" applyBorder="1" applyAlignment="1" applyProtection="1">
      <alignment vertical="center"/>
      <protection locked="0"/>
    </xf>
    <xf numFmtId="168" fontId="74" fillId="14" borderId="3" xfId="47" applyNumberFormat="1" applyFont="1" applyFill="1" applyBorder="1" applyAlignment="1" applyProtection="1">
      <alignment vertical="center"/>
      <protection locked="0"/>
    </xf>
    <xf numFmtId="168" fontId="74" fillId="14" borderId="34" xfId="4" applyNumberFormat="1" applyFont="1" applyFill="1" applyBorder="1" applyAlignment="1" applyProtection="1">
      <alignment vertical="center"/>
      <protection locked="0"/>
    </xf>
    <xf numFmtId="168" fontId="74" fillId="14" borderId="3" xfId="4" applyNumberFormat="1" applyFont="1" applyFill="1" applyAlignment="1" applyProtection="1">
      <alignment vertical="center"/>
      <protection locked="0"/>
    </xf>
    <xf numFmtId="9" fontId="74" fillId="14" borderId="34" xfId="33" applyFont="1" applyFill="1" applyBorder="1" applyAlignment="1" applyProtection="1">
      <alignment vertical="center"/>
      <protection locked="0"/>
    </xf>
    <xf numFmtId="2" fontId="74" fillId="14" borderId="3" xfId="47" applyNumberFormat="1" applyFont="1" applyFill="1" applyBorder="1" applyAlignment="1" applyProtection="1">
      <alignment vertical="center"/>
      <protection locked="0"/>
    </xf>
    <xf numFmtId="0" fontId="74" fillId="14" borderId="3" xfId="4" applyFont="1" applyFill="1" applyAlignment="1" applyProtection="1">
      <alignment vertical="center"/>
      <protection locked="0"/>
    </xf>
    <xf numFmtId="2" fontId="74" fillId="14" borderId="3" xfId="47" applyNumberFormat="1" applyFont="1" applyFill="1" applyBorder="1" applyAlignment="1" applyProtection="1">
      <alignment horizontal="center" vertical="center"/>
      <protection locked="0"/>
    </xf>
    <xf numFmtId="2" fontId="74" fillId="14" borderId="3" xfId="4" applyNumberFormat="1" applyFont="1" applyFill="1" applyAlignment="1" applyProtection="1">
      <alignment horizontal="center" vertical="center"/>
      <protection locked="0"/>
    </xf>
    <xf numFmtId="165" fontId="74" fillId="14" borderId="3" xfId="4" applyNumberFormat="1" applyFont="1" applyFill="1" applyAlignment="1" applyProtection="1">
      <alignment horizontal="center" vertical="center"/>
      <protection locked="0"/>
    </xf>
    <xf numFmtId="0" fontId="36" fillId="8" borderId="72" xfId="108" applyFont="1" applyBorder="1" applyAlignment="1" applyProtection="1">
      <alignment horizontal="left" vertical="center"/>
    </xf>
    <xf numFmtId="0" fontId="21" fillId="8" borderId="59" xfId="108" applyFont="1" applyBorder="1" applyAlignment="1" applyProtection="1">
      <alignment horizontal="left" vertical="center"/>
    </xf>
    <xf numFmtId="0" fontId="36" fillId="8" borderId="54" xfId="108" applyFont="1" applyBorder="1" applyAlignment="1" applyProtection="1">
      <alignment horizontal="left" vertical="center"/>
    </xf>
    <xf numFmtId="0" fontId="21" fillId="8" borderId="67" xfId="108" applyFont="1" applyBorder="1" applyAlignment="1" applyProtection="1">
      <alignment horizontal="left" vertical="center"/>
    </xf>
    <xf numFmtId="166" fontId="81" fillId="3" borderId="13" xfId="1" applyNumberFormat="1" applyFont="1" applyFill="1" applyBorder="1" applyAlignment="1" applyProtection="1">
      <alignment horizontal="center" vertical="center"/>
    </xf>
    <xf numFmtId="0" fontId="21" fillId="8" borderId="55" xfId="108" applyFont="1" applyBorder="1" applyAlignment="1" applyProtection="1">
      <alignment horizontal="left" vertical="center"/>
    </xf>
    <xf numFmtId="0" fontId="21" fillId="8" borderId="54" xfId="108" applyFont="1" applyBorder="1" applyAlignment="1" applyProtection="1">
      <alignment horizontal="left" vertical="center"/>
    </xf>
    <xf numFmtId="0" fontId="21" fillId="8" borderId="73" xfId="108" applyFont="1" applyBorder="1" applyAlignment="1" applyProtection="1">
      <alignment horizontal="left" vertical="center"/>
    </xf>
    <xf numFmtId="168" fontId="74" fillId="14" borderId="34" xfId="47" applyNumberFormat="1" applyFont="1" applyFill="1" applyBorder="1" applyAlignment="1" applyProtection="1">
      <alignment horizontal="center" vertical="center"/>
      <protection locked="0"/>
    </xf>
    <xf numFmtId="2" fontId="74" fillId="14" borderId="34" xfId="4" applyNumberFormat="1" applyFont="1" applyFill="1" applyBorder="1" applyAlignment="1" applyProtection="1">
      <alignment horizontal="center" vertical="center"/>
      <protection locked="0"/>
    </xf>
    <xf numFmtId="168" fontId="74" fillId="14" borderId="35" xfId="4" applyNumberFormat="1" applyFont="1" applyFill="1" applyBorder="1" applyAlignment="1" applyProtection="1">
      <alignment horizontal="center" vertical="center" wrapText="1"/>
      <protection locked="0"/>
    </xf>
    <xf numFmtId="0" fontId="74" fillId="14" borderId="3" xfId="4" applyFont="1" applyFill="1" applyAlignment="1" applyProtection="1">
      <alignment horizontal="center" vertical="center" wrapText="1"/>
      <protection locked="0"/>
    </xf>
    <xf numFmtId="164" fontId="74" fillId="14" borderId="3" xfId="4" applyNumberFormat="1" applyFont="1" applyFill="1" applyAlignment="1" applyProtection="1">
      <alignment horizontal="center" vertical="center" wrapText="1"/>
      <protection locked="0"/>
    </xf>
    <xf numFmtId="0" fontId="74" fillId="14" borderId="97" xfId="4" applyFont="1" applyFill="1" applyBorder="1" applyAlignment="1" applyProtection="1">
      <alignment horizontal="left" vertical="center"/>
      <protection locked="0"/>
    </xf>
    <xf numFmtId="0" fontId="74" fillId="14" borderId="3" xfId="4" applyFont="1" applyFill="1" applyAlignment="1" applyProtection="1">
      <alignment horizontal="left" vertical="center"/>
      <protection locked="0"/>
    </xf>
    <xf numFmtId="0" fontId="78" fillId="6" borderId="55" xfId="108" applyFont="1" applyFill="1" applyBorder="1" applyAlignment="1" applyProtection="1">
      <alignment horizontal="left" vertical="center"/>
    </xf>
    <xf numFmtId="0" fontId="21" fillId="8" borderId="57" xfId="108" applyFont="1" applyBorder="1" applyAlignment="1" applyProtection="1">
      <alignment horizontal="left" vertical="center" wrapText="1"/>
    </xf>
    <xf numFmtId="0" fontId="36" fillId="8" borderId="71" xfId="108" applyFont="1" applyBorder="1" applyAlignment="1" applyProtection="1">
      <alignment horizontal="left" vertical="center" wrapText="1"/>
    </xf>
    <xf numFmtId="0" fontId="36" fillId="8" borderId="66" xfId="108" applyFont="1" applyBorder="1" applyAlignment="1" applyProtection="1">
      <alignment horizontal="left" vertical="center" wrapText="1"/>
    </xf>
    <xf numFmtId="0" fontId="21" fillId="8" borderId="55" xfId="108" applyFont="1" applyBorder="1" applyAlignment="1" applyProtection="1">
      <alignment vertical="center"/>
    </xf>
    <xf numFmtId="0" fontId="36" fillId="8" borderId="71" xfId="108" applyFont="1" applyBorder="1" applyAlignment="1" applyProtection="1">
      <alignment vertical="center"/>
    </xf>
    <xf numFmtId="0" fontId="21" fillId="8" borderId="71" xfId="108" applyFont="1" applyBorder="1" applyAlignment="1" applyProtection="1">
      <alignment vertical="center"/>
    </xf>
    <xf numFmtId="0" fontId="21" fillId="6" borderId="72" xfId="108" applyFont="1" applyFill="1" applyBorder="1" applyAlignment="1" applyProtection="1">
      <alignment horizontal="left" vertical="center"/>
    </xf>
    <xf numFmtId="0" fontId="21" fillId="6" borderId="57" xfId="108" applyFont="1" applyFill="1" applyBorder="1" applyAlignment="1" applyProtection="1">
      <alignment horizontal="left" vertical="center"/>
    </xf>
    <xf numFmtId="166" fontId="82" fillId="6" borderId="0" xfId="0" applyNumberFormat="1" applyFont="1" applyFill="1" applyAlignment="1">
      <alignment horizontal="center" vertical="center"/>
    </xf>
    <xf numFmtId="0" fontId="78" fillId="6" borderId="30" xfId="108" applyFont="1" applyFill="1" applyBorder="1" applyAlignment="1" applyProtection="1">
      <alignment horizontal="left" vertical="center"/>
    </xf>
    <xf numFmtId="0" fontId="78" fillId="6" borderId="0" xfId="108" applyFont="1" applyFill="1" applyBorder="1" applyAlignment="1" applyProtection="1">
      <alignment horizontal="left" vertical="center"/>
    </xf>
    <xf numFmtId="44" fontId="88" fillId="3" borderId="3" xfId="5" applyNumberFormat="1" applyFont="1" applyAlignment="1" applyProtection="1">
      <alignment vertical="center"/>
    </xf>
    <xf numFmtId="0" fontId="78" fillId="6" borderId="0" xfId="108" applyFont="1" applyFill="1" applyBorder="1" applyAlignment="1" applyProtection="1">
      <alignment horizontal="center" vertical="center"/>
    </xf>
    <xf numFmtId="167" fontId="78" fillId="6" borderId="0" xfId="0" applyNumberFormat="1" applyFont="1" applyFill="1" applyAlignment="1">
      <alignment vertical="center"/>
    </xf>
    <xf numFmtId="0" fontId="21" fillId="14" borderId="27" xfId="108" applyFont="1" applyFill="1" applyBorder="1" applyAlignment="1" applyProtection="1">
      <alignment vertical="center" wrapText="1"/>
      <protection locked="0"/>
    </xf>
    <xf numFmtId="0" fontId="21" fillId="14" borderId="34" xfId="4" applyFont="1" applyFill="1" applyBorder="1" applyAlignment="1" applyProtection="1">
      <alignment horizontal="center" vertical="center" wrapText="1"/>
      <protection locked="0"/>
    </xf>
    <xf numFmtId="167" fontId="73" fillId="14" borderId="13" xfId="103" applyNumberFormat="1" applyFont="1" applyFill="1" applyAlignment="1" applyProtection="1">
      <alignment horizontal="center" vertical="center" wrapText="1"/>
      <protection locked="0"/>
    </xf>
    <xf numFmtId="2" fontId="73" fillId="14" borderId="6" xfId="47" applyNumberFormat="1" applyFont="1" applyFill="1" applyBorder="1" applyAlignment="1" applyProtection="1">
      <alignment horizontal="center" vertical="center" wrapText="1"/>
      <protection locked="0"/>
    </xf>
    <xf numFmtId="0" fontId="21" fillId="14" borderId="3" xfId="4" applyFont="1" applyFill="1" applyAlignment="1" applyProtection="1">
      <alignment horizontal="center" vertical="center" wrapText="1"/>
      <protection locked="0"/>
    </xf>
    <xf numFmtId="171" fontId="73" fillId="14" borderId="6" xfId="4" applyNumberFormat="1" applyFont="1" applyFill="1" applyBorder="1" applyAlignment="1" applyProtection="1">
      <alignment horizontal="center" vertical="center"/>
      <protection locked="0"/>
    </xf>
    <xf numFmtId="0" fontId="73" fillId="14" borderId="6" xfId="4" applyFont="1" applyFill="1" applyBorder="1" applyAlignment="1" applyProtection="1">
      <alignment horizontal="center" vertical="center" wrapText="1"/>
      <protection locked="0"/>
    </xf>
    <xf numFmtId="168" fontId="73" fillId="14" borderId="6" xfId="4" applyNumberFormat="1" applyFont="1" applyFill="1" applyBorder="1" applyAlignment="1" applyProtection="1">
      <alignment horizontal="center" vertical="center" wrapText="1"/>
      <protection locked="0"/>
    </xf>
    <xf numFmtId="168" fontId="73" fillId="14" borderId="6" xfId="4" applyNumberFormat="1" applyFont="1" applyFill="1" applyBorder="1" applyAlignment="1" applyProtection="1">
      <alignment horizontal="center" vertical="center"/>
      <protection locked="0"/>
    </xf>
    <xf numFmtId="9" fontId="74" fillId="14" borderId="6" xfId="33" applyFont="1" applyFill="1" applyBorder="1" applyAlignment="1" applyProtection="1">
      <alignment horizontal="center" vertical="center"/>
      <protection locked="0"/>
    </xf>
    <xf numFmtId="2" fontId="21" fillId="14" borderId="24" xfId="47" applyNumberFormat="1" applyFont="1" applyFill="1" applyBorder="1" applyAlignment="1" applyProtection="1">
      <alignment horizontal="left" vertical="center"/>
      <protection locked="0"/>
    </xf>
    <xf numFmtId="0" fontId="21" fillId="14" borderId="49" xfId="108" applyFont="1" applyFill="1" applyBorder="1" applyAlignment="1" applyProtection="1">
      <alignment horizontal="center" vertical="center"/>
      <protection locked="0"/>
    </xf>
    <xf numFmtId="1" fontId="21" fillId="14" borderId="31" xfId="108" applyNumberFormat="1" applyFont="1" applyFill="1" applyBorder="1" applyAlignment="1" applyProtection="1">
      <alignment horizontal="center" vertical="center"/>
      <protection locked="0"/>
    </xf>
    <xf numFmtId="0" fontId="74" fillId="14" borderId="3" xfId="4" applyFont="1" applyFill="1" applyAlignment="1" applyProtection="1">
      <alignment vertical="center" wrapText="1"/>
      <protection locked="0"/>
    </xf>
    <xf numFmtId="0" fontId="74" fillId="14" borderId="28" xfId="4" applyFont="1" applyFill="1" applyBorder="1" applyAlignment="1" applyProtection="1">
      <alignment vertical="center" wrapText="1"/>
      <protection locked="0"/>
    </xf>
    <xf numFmtId="167" fontId="78" fillId="6" borderId="0" xfId="0" applyNumberFormat="1" applyFont="1" applyFill="1" applyAlignment="1">
      <alignment horizontal="left" vertical="center"/>
    </xf>
    <xf numFmtId="0" fontId="89" fillId="0" borderId="0" xfId="110" applyFont="1" applyAlignment="1" applyProtection="1">
      <alignment vertical="center"/>
    </xf>
    <xf numFmtId="0" fontId="89" fillId="0" borderId="0" xfId="110" applyFont="1" applyAlignment="1" applyProtection="1">
      <alignment horizontal="center" vertical="center" wrapText="1"/>
    </xf>
    <xf numFmtId="0" fontId="78" fillId="6" borderId="30" xfId="108" applyFont="1" applyFill="1" applyBorder="1" applyAlignment="1" applyProtection="1">
      <alignment vertical="center"/>
    </xf>
    <xf numFmtId="0" fontId="78" fillId="6" borderId="0" xfId="108" applyFont="1" applyFill="1" applyBorder="1" applyAlignment="1" applyProtection="1">
      <alignment vertical="center"/>
    </xf>
    <xf numFmtId="0" fontId="92" fillId="0" borderId="0" xfId="0" applyFont="1" applyAlignment="1">
      <alignment vertical="center"/>
    </xf>
    <xf numFmtId="167" fontId="88" fillId="3" borderId="28" xfId="5" applyNumberFormat="1" applyFont="1" applyBorder="1" applyAlignment="1" applyProtection="1">
      <alignment vertical="center"/>
    </xf>
    <xf numFmtId="164" fontId="21" fillId="20" borderId="6" xfId="1" applyFont="1" applyFill="1" applyBorder="1" applyAlignment="1" applyProtection="1">
      <alignment horizontal="center" vertical="center"/>
    </xf>
    <xf numFmtId="0" fontId="82" fillId="6" borderId="60" xfId="108" applyFont="1" applyFill="1" applyBorder="1" applyAlignment="1" applyProtection="1">
      <alignment horizontal="right" vertical="center"/>
    </xf>
    <xf numFmtId="0" fontId="21" fillId="6" borderId="49" xfId="108" applyFont="1" applyFill="1" applyBorder="1" applyAlignment="1" applyProtection="1">
      <alignment horizontal="left" vertical="center"/>
    </xf>
    <xf numFmtId="0" fontId="21" fillId="6" borderId="65" xfId="108" applyFont="1" applyFill="1" applyBorder="1" applyAlignment="1" applyProtection="1">
      <alignment horizontal="left" vertical="center"/>
    </xf>
    <xf numFmtId="0" fontId="82" fillId="6" borderId="49" xfId="108" applyFont="1" applyFill="1" applyBorder="1" applyAlignment="1" applyProtection="1">
      <alignment horizontal="right" vertical="center"/>
    </xf>
    <xf numFmtId="167" fontId="78" fillId="6" borderId="52" xfId="0" applyNumberFormat="1" applyFont="1" applyFill="1" applyBorder="1" applyAlignment="1">
      <alignment vertical="center"/>
    </xf>
    <xf numFmtId="164" fontId="21" fillId="15" borderId="24" xfId="1" applyFont="1" applyFill="1" applyBorder="1" applyAlignment="1" applyProtection="1">
      <alignment horizontal="center" vertical="center"/>
    </xf>
    <xf numFmtId="0" fontId="82" fillId="6" borderId="0" xfId="108" applyFont="1" applyFill="1" applyBorder="1" applyAlignment="1" applyProtection="1">
      <alignment horizontal="right" vertical="center" wrapText="1"/>
    </xf>
    <xf numFmtId="1" fontId="74" fillId="14" borderId="3" xfId="4" applyNumberFormat="1" applyFont="1" applyFill="1" applyAlignment="1" applyProtection="1">
      <alignment horizontal="left" vertical="center" wrapText="1"/>
      <protection locked="0"/>
    </xf>
    <xf numFmtId="1" fontId="74" fillId="14" borderId="3" xfId="4" applyNumberFormat="1" applyFont="1" applyFill="1" applyAlignment="1" applyProtection="1">
      <alignment horizontal="center" vertical="center"/>
      <protection locked="0"/>
    </xf>
    <xf numFmtId="1" fontId="74" fillId="14" borderId="28" xfId="4" applyNumberFormat="1" applyFont="1" applyFill="1" applyBorder="1" applyAlignment="1" applyProtection="1">
      <alignment horizontal="center" vertical="center"/>
      <protection locked="0"/>
    </xf>
    <xf numFmtId="1" fontId="21" fillId="14" borderId="3" xfId="4" applyNumberFormat="1" applyFont="1" applyFill="1" applyAlignment="1" applyProtection="1">
      <alignment horizontal="left" vertical="center" wrapText="1"/>
      <protection locked="0"/>
    </xf>
    <xf numFmtId="0" fontId="21" fillId="14" borderId="99" xfId="108" applyFont="1" applyFill="1" applyBorder="1" applyAlignment="1" applyProtection="1">
      <alignment vertical="center" wrapText="1"/>
      <protection locked="0"/>
    </xf>
    <xf numFmtId="0" fontId="21" fillId="14" borderId="59" xfId="108" applyFont="1" applyFill="1" applyBorder="1" applyAlignment="1" applyProtection="1">
      <alignment vertical="center" wrapText="1"/>
      <protection locked="0"/>
    </xf>
    <xf numFmtId="164" fontId="74" fillId="16" borderId="3" xfId="1" applyFont="1" applyFill="1" applyBorder="1" applyAlignment="1" applyProtection="1">
      <alignment horizontal="center" vertical="center"/>
      <protection locked="0"/>
    </xf>
    <xf numFmtId="0" fontId="0" fillId="0" borderId="0" xfId="0" applyAlignment="1">
      <alignment vertical="center" wrapText="1"/>
    </xf>
    <xf numFmtId="0" fontId="42" fillId="6" borderId="0" xfId="0" applyFont="1" applyFill="1" applyAlignment="1">
      <alignment horizontal="left" vertical="center"/>
    </xf>
    <xf numFmtId="0" fontId="14" fillId="0" borderId="2" xfId="3" applyAlignment="1" applyProtection="1">
      <alignment vertical="center"/>
    </xf>
    <xf numFmtId="0" fontId="14" fillId="0" borderId="2" xfId="3" applyAlignment="1" applyProtection="1">
      <alignment vertical="center" wrapText="1"/>
    </xf>
    <xf numFmtId="0" fontId="18" fillId="21" borderId="2" xfId="3" applyFont="1" applyFill="1" applyAlignment="1" applyProtection="1">
      <alignment vertical="center" wrapText="1"/>
    </xf>
    <xf numFmtId="0" fontId="38" fillId="21" borderId="0" xfId="0" applyFont="1" applyFill="1" applyAlignment="1">
      <alignment vertical="center"/>
    </xf>
    <xf numFmtId="0" fontId="38" fillId="21" borderId="0" xfId="0" applyFont="1" applyFill="1" applyAlignment="1">
      <alignment vertical="center" wrapText="1"/>
    </xf>
    <xf numFmtId="0" fontId="68" fillId="8" borderId="26" xfId="108" applyFont="1" applyAlignment="1" applyProtection="1">
      <alignment horizontal="left" vertical="center" wrapText="1"/>
    </xf>
    <xf numFmtId="167" fontId="17" fillId="0" borderId="4" xfId="1" applyNumberFormat="1" applyFont="1" applyFill="1" applyBorder="1" applyAlignment="1" applyProtection="1">
      <alignment vertical="center"/>
    </xf>
    <xf numFmtId="0" fontId="20" fillId="0" borderId="0" xfId="0" applyFont="1" applyAlignment="1">
      <alignment vertical="center"/>
    </xf>
    <xf numFmtId="0" fontId="0" fillId="8" borderId="26" xfId="108" applyFont="1" applyAlignment="1" applyProtection="1">
      <alignment vertical="center" wrapText="1"/>
    </xf>
    <xf numFmtId="0" fontId="20" fillId="8" borderId="26" xfId="108" applyFont="1" applyAlignment="1" applyProtection="1">
      <alignment vertical="center" wrapText="1"/>
    </xf>
    <xf numFmtId="0" fontId="37" fillId="8" borderId="26" xfId="108" applyFont="1" applyAlignment="1" applyProtection="1">
      <alignment vertical="center" wrapText="1"/>
    </xf>
    <xf numFmtId="167" fontId="17" fillId="0" borderId="4" xfId="1" applyNumberFormat="1" applyFont="1" applyBorder="1" applyAlignment="1" applyProtection="1">
      <alignment vertical="center"/>
    </xf>
    <xf numFmtId="167" fontId="17" fillId="0" borderId="4" xfId="6" applyNumberFormat="1" applyAlignment="1" applyProtection="1">
      <alignment vertical="center"/>
    </xf>
    <xf numFmtId="44" fontId="68" fillId="8" borderId="26" xfId="108" applyNumberFormat="1" applyFont="1" applyAlignment="1" applyProtection="1">
      <alignment horizontal="left" vertical="center" wrapText="1"/>
    </xf>
    <xf numFmtId="164" fontId="17" fillId="0" borderId="4" xfId="6" applyNumberFormat="1" applyAlignment="1" applyProtection="1">
      <alignment vertical="center"/>
    </xf>
    <xf numFmtId="167" fontId="0" fillId="0" borderId="0" xfId="0" applyNumberFormat="1" applyAlignment="1">
      <alignment vertical="center"/>
    </xf>
    <xf numFmtId="2" fontId="0" fillId="8" borderId="26" xfId="108" applyNumberFormat="1" applyFont="1" applyAlignment="1" applyProtection="1">
      <alignment vertical="center" wrapText="1"/>
    </xf>
    <xf numFmtId="4" fontId="0" fillId="8" borderId="26" xfId="108" applyNumberFormat="1" applyFont="1" applyAlignment="1" applyProtection="1">
      <alignment vertical="center" wrapText="1"/>
    </xf>
    <xf numFmtId="0" fontId="20" fillId="8" borderId="26" xfId="108" applyNumberFormat="1" applyFont="1" applyAlignment="1" applyProtection="1">
      <alignment vertical="center" wrapText="1"/>
    </xf>
    <xf numFmtId="0" fontId="0" fillId="8" borderId="26" xfId="108" applyNumberFormat="1" applyFont="1" applyAlignment="1" applyProtection="1">
      <alignment vertical="center" wrapText="1"/>
    </xf>
    <xf numFmtId="167" fontId="17" fillId="0" borderId="0" xfId="1" applyNumberFormat="1" applyFont="1" applyFill="1" applyBorder="1" applyAlignment="1" applyProtection="1">
      <alignment vertical="center"/>
    </xf>
    <xf numFmtId="167" fontId="17" fillId="0" borderId="0" xfId="1" applyNumberFormat="1" applyFont="1" applyBorder="1" applyAlignment="1" applyProtection="1">
      <alignment vertical="center"/>
    </xf>
    <xf numFmtId="0" fontId="71" fillId="0" borderId="0" xfId="0" applyFont="1" applyAlignment="1">
      <alignment vertical="center"/>
    </xf>
    <xf numFmtId="0" fontId="0" fillId="0" borderId="0" xfId="0" applyAlignment="1">
      <alignment horizontal="center"/>
    </xf>
    <xf numFmtId="0" fontId="0" fillId="0" borderId="0" xfId="0" applyAlignment="1">
      <alignment horizontal="left"/>
    </xf>
    <xf numFmtId="0" fontId="20" fillId="0" borderId="0" xfId="0" applyFont="1" applyAlignment="1">
      <alignment horizontal="right"/>
    </xf>
    <xf numFmtId="0" fontId="68" fillId="8" borderId="26" xfId="108" applyFont="1" applyProtection="1"/>
    <xf numFmtId="0" fontId="15" fillId="2" borderId="3" xfId="4" applyProtection="1"/>
    <xf numFmtId="0" fontId="47" fillId="0" borderId="0" xfId="0" applyFont="1" applyAlignment="1">
      <alignment horizontal="left" indent="1"/>
    </xf>
    <xf numFmtId="179" fontId="15" fillId="2" borderId="3" xfId="4" applyNumberFormat="1" applyProtection="1"/>
    <xf numFmtId="2" fontId="16" fillId="3" borderId="3" xfId="5" applyNumberFormat="1" applyProtection="1"/>
    <xf numFmtId="174" fontId="15" fillId="2" borderId="3" xfId="4" applyNumberFormat="1" applyAlignment="1" applyProtection="1">
      <alignment horizontal="center"/>
    </xf>
    <xf numFmtId="0" fontId="20" fillId="0" borderId="0" xfId="0" applyFont="1" applyAlignment="1">
      <alignment horizontal="left"/>
    </xf>
    <xf numFmtId="2" fontId="15" fillId="2" borderId="3" xfId="4" applyNumberFormat="1" applyAlignment="1" applyProtection="1">
      <alignment horizontal="center"/>
    </xf>
    <xf numFmtId="0" fontId="41" fillId="6" borderId="42" xfId="0" applyFont="1" applyFill="1" applyBorder="1" applyAlignment="1">
      <alignment horizontal="center" vertical="center" wrapText="1"/>
    </xf>
    <xf numFmtId="0" fontId="41" fillId="6" borderId="42" xfId="0" applyFont="1" applyFill="1" applyBorder="1" applyAlignment="1">
      <alignment horizontal="left" vertical="center" wrapText="1"/>
    </xf>
    <xf numFmtId="0" fontId="41" fillId="6" borderId="18" xfId="0" applyFont="1" applyFill="1" applyBorder="1" applyAlignment="1">
      <alignment vertical="center" wrapText="1"/>
    </xf>
    <xf numFmtId="0" fontId="23" fillId="11" borderId="64" xfId="0" applyFont="1" applyFill="1" applyBorder="1" applyAlignment="1">
      <alignment horizontal="right" wrapText="1"/>
    </xf>
    <xf numFmtId="0" fontId="23" fillId="11" borderId="18" xfId="0" applyFont="1" applyFill="1" applyBorder="1" applyAlignment="1">
      <alignment horizontal="center" wrapText="1"/>
    </xf>
    <xf numFmtId="0" fontId="18" fillId="21" borderId="0" xfId="110" applyFont="1" applyFill="1" applyAlignment="1" applyProtection="1">
      <alignment vertical="center"/>
    </xf>
    <xf numFmtId="0" fontId="37" fillId="8" borderId="26" xfId="108" applyFont="1" applyAlignment="1" applyProtection="1">
      <alignment horizontal="left" vertical="center" indent="1"/>
    </xf>
    <xf numFmtId="164" fontId="37" fillId="0" borderId="18" xfId="1" applyFont="1" applyFill="1" applyBorder="1" applyAlignment="1" applyProtection="1">
      <alignment horizontal="center" vertical="center"/>
    </xf>
    <xf numFmtId="0" fontId="37" fillId="0" borderId="18" xfId="0" applyFont="1" applyBorder="1" applyAlignment="1">
      <alignment vertical="center"/>
    </xf>
    <xf numFmtId="174" fontId="37" fillId="0" borderId="18" xfId="0" applyNumberFormat="1" applyFont="1" applyBorder="1" applyAlignment="1">
      <alignment horizontal="left" vertical="center"/>
    </xf>
    <xf numFmtId="164" fontId="16" fillId="0" borderId="18" xfId="5" applyNumberFormat="1" applyFill="1" applyBorder="1" applyAlignment="1" applyProtection="1">
      <alignment vertical="center"/>
    </xf>
    <xf numFmtId="9" fontId="16" fillId="0" borderId="18" xfId="33" applyFont="1" applyFill="1" applyBorder="1" applyAlignment="1" applyProtection="1">
      <alignment vertical="center"/>
    </xf>
    <xf numFmtId="164" fontId="16" fillId="0" borderId="18" xfId="1" applyFont="1" applyFill="1" applyBorder="1" applyAlignment="1" applyProtection="1">
      <alignment vertical="center"/>
    </xf>
    <xf numFmtId="0" fontId="15" fillId="0" borderId="18" xfId="4" applyFill="1" applyBorder="1" applyAlignment="1" applyProtection="1">
      <alignment horizontal="left" vertical="center"/>
    </xf>
    <xf numFmtId="174" fontId="15" fillId="0" borderId="18" xfId="4" applyNumberFormat="1" applyFill="1" applyBorder="1" applyAlignment="1" applyProtection="1">
      <alignment horizontal="center" vertical="center"/>
    </xf>
    <xf numFmtId="164" fontId="15" fillId="0" borderId="18" xfId="4" applyNumberFormat="1" applyFill="1" applyBorder="1" applyAlignment="1" applyProtection="1">
      <alignment horizontal="center" vertical="center"/>
    </xf>
    <xf numFmtId="0" fontId="37" fillId="8" borderId="50" xfId="108" applyFont="1" applyBorder="1" applyAlignment="1" applyProtection="1">
      <alignment horizontal="left" vertical="center" indent="1"/>
    </xf>
    <xf numFmtId="164" fontId="37" fillId="0" borderId="38" xfId="1" applyFont="1" applyFill="1" applyBorder="1" applyAlignment="1" applyProtection="1">
      <alignment horizontal="center" vertical="center"/>
    </xf>
    <xf numFmtId="0" fontId="37" fillId="0" borderId="38" xfId="0" applyFont="1" applyBorder="1" applyAlignment="1">
      <alignment vertical="center"/>
    </xf>
    <xf numFmtId="174" fontId="37" fillId="0" borderId="38" xfId="0" applyNumberFormat="1" applyFont="1" applyBorder="1" applyAlignment="1">
      <alignment horizontal="left" vertical="center"/>
    </xf>
    <xf numFmtId="0" fontId="37" fillId="0" borderId="39" xfId="0" applyFont="1" applyBorder="1" applyAlignment="1">
      <alignment vertical="center"/>
    </xf>
    <xf numFmtId="0" fontId="37" fillId="8" borderId="67" xfId="108" applyFont="1" applyBorder="1" applyAlignment="1" applyProtection="1">
      <alignment horizontal="left" vertical="center" indent="1"/>
    </xf>
    <xf numFmtId="164" fontId="15" fillId="0" borderId="41" xfId="4" applyNumberFormat="1" applyFill="1" applyBorder="1" applyAlignment="1" applyProtection="1">
      <alignment horizontal="center" vertical="center"/>
    </xf>
    <xf numFmtId="164" fontId="15" fillId="0" borderId="68" xfId="4" applyNumberFormat="1" applyFill="1" applyBorder="1" applyAlignment="1" applyProtection="1">
      <alignment horizontal="center" vertical="center"/>
    </xf>
    <xf numFmtId="0" fontId="37" fillId="8" borderId="51" xfId="108" applyFont="1" applyBorder="1" applyAlignment="1" applyProtection="1">
      <alignment horizontal="left" vertical="center" indent="1"/>
    </xf>
    <xf numFmtId="164" fontId="37" fillId="0" borderId="18" xfId="1" applyFont="1" applyBorder="1" applyAlignment="1" applyProtection="1">
      <alignment horizontal="center" vertical="center"/>
    </xf>
    <xf numFmtId="9" fontId="16" fillId="0" borderId="18" xfId="33" applyFont="1" applyBorder="1" applyAlignment="1" applyProtection="1">
      <alignment vertical="center"/>
    </xf>
    <xf numFmtId="0" fontId="56" fillId="0" borderId="0" xfId="0" applyFont="1" applyAlignment="1">
      <alignment vertical="center"/>
    </xf>
    <xf numFmtId="0" fontId="37" fillId="0" borderId="0" xfId="48" applyFont="1" applyAlignment="1">
      <alignment vertical="center"/>
    </xf>
    <xf numFmtId="0" fontId="41" fillId="6" borderId="9" xfId="0" applyFont="1" applyFill="1" applyBorder="1" applyAlignment="1">
      <alignment horizontal="left" vertical="center"/>
    </xf>
    <xf numFmtId="0" fontId="41" fillId="6" borderId="9" xfId="0" applyFont="1" applyFill="1" applyBorder="1" applyAlignment="1">
      <alignment vertical="center"/>
    </xf>
    <xf numFmtId="0" fontId="14" fillId="6" borderId="9" xfId="110" applyFill="1" applyBorder="1" applyAlignment="1" applyProtection="1">
      <alignment vertical="center"/>
    </xf>
    <xf numFmtId="0" fontId="48" fillId="0" borderId="0" xfId="110" applyFont="1" applyAlignment="1" applyProtection="1">
      <alignment horizontal="center" vertical="center" wrapText="1"/>
    </xf>
    <xf numFmtId="0" fontId="0" fillId="8" borderId="31" xfId="108" applyFont="1" applyBorder="1" applyAlignment="1" applyProtection="1">
      <alignment vertical="center"/>
    </xf>
    <xf numFmtId="49" fontId="15" fillId="0" borderId="47" xfId="4" applyNumberFormat="1" applyFill="1" applyBorder="1" applyAlignment="1" applyProtection="1">
      <alignment horizontal="left" vertical="center"/>
    </xf>
    <xf numFmtId="49" fontId="15" fillId="0" borderId="48" xfId="4" applyNumberFormat="1" applyFill="1" applyBorder="1" applyAlignment="1" applyProtection="1">
      <alignment horizontal="left" vertical="center"/>
    </xf>
    <xf numFmtId="0" fontId="20" fillId="0" borderId="0" xfId="108" applyFont="1" applyFill="1" applyBorder="1" applyAlignment="1" applyProtection="1">
      <alignment vertical="center"/>
    </xf>
    <xf numFmtId="0" fontId="0" fillId="0" borderId="0" xfId="108" applyFont="1" applyFill="1" applyBorder="1" applyAlignment="1" applyProtection="1">
      <alignment vertical="center"/>
    </xf>
    <xf numFmtId="0" fontId="41" fillId="6" borderId="6" xfId="0" applyFont="1" applyFill="1" applyBorder="1" applyAlignment="1">
      <alignment horizontal="left" vertical="center"/>
    </xf>
    <xf numFmtId="0" fontId="41" fillId="6" borderId="22" xfId="0" applyFont="1" applyFill="1" applyBorder="1" applyAlignment="1">
      <alignment vertical="center"/>
    </xf>
    <xf numFmtId="0" fontId="27" fillId="0" borderId="0" xfId="13" applyFont="1" applyAlignment="1">
      <alignment vertical="center"/>
    </xf>
    <xf numFmtId="0" fontId="28" fillId="0" borderId="21" xfId="39" applyFont="1" applyBorder="1" applyAlignment="1">
      <alignment horizontal="right" vertical="center" wrapText="1"/>
    </xf>
    <xf numFmtId="1" fontId="14" fillId="0" borderId="15" xfId="110" applyNumberFormat="1" applyBorder="1" applyAlignment="1" applyProtection="1">
      <alignment horizontal="center" vertical="center"/>
    </xf>
    <xf numFmtId="0" fontId="22" fillId="0" borderId="0" xfId="24" applyAlignment="1">
      <alignment vertical="center"/>
    </xf>
    <xf numFmtId="1" fontId="0" fillId="0" borderId="15" xfId="0" applyNumberFormat="1" applyBorder="1" applyAlignment="1">
      <alignment horizontal="center" vertical="center"/>
    </xf>
    <xf numFmtId="0" fontId="12" fillId="0" borderId="0" xfId="13" applyAlignment="1">
      <alignment vertical="center"/>
    </xf>
    <xf numFmtId="0" fontId="52" fillId="0" borderId="0" xfId="109" applyAlignment="1" applyProtection="1">
      <alignment horizontal="right" vertical="center"/>
    </xf>
    <xf numFmtId="0" fontId="52" fillId="0" borderId="0" xfId="109" applyAlignment="1" applyProtection="1">
      <alignment vertical="center"/>
    </xf>
    <xf numFmtId="0" fontId="44" fillId="0" borderId="0" xfId="24" applyFont="1" applyAlignment="1">
      <alignment vertical="center"/>
    </xf>
    <xf numFmtId="0" fontId="14" fillId="0" borderId="0" xfId="110" applyAlignment="1" applyProtection="1">
      <alignment vertical="center"/>
    </xf>
    <xf numFmtId="1" fontId="43" fillId="3" borderId="13" xfId="103" applyNumberFormat="1" applyAlignment="1" applyProtection="1">
      <alignment horizontal="center" vertical="center"/>
    </xf>
    <xf numFmtId="0" fontId="52" fillId="0" borderId="0" xfId="109" applyAlignment="1" applyProtection="1">
      <alignment horizontal="left" vertical="center"/>
    </xf>
    <xf numFmtId="0" fontId="54" fillId="6" borderId="9" xfId="0" applyFont="1" applyFill="1" applyBorder="1" applyAlignment="1">
      <alignment horizontal="center" vertical="center"/>
    </xf>
    <xf numFmtId="0" fontId="14" fillId="0" borderId="0" xfId="110" applyAlignment="1" applyProtection="1">
      <alignment horizontal="left" vertical="center"/>
    </xf>
    <xf numFmtId="0" fontId="20" fillId="0" borderId="0" xfId="48" applyFont="1" applyAlignment="1">
      <alignment vertical="center"/>
    </xf>
    <xf numFmtId="171" fontId="0" fillId="0" borderId="15" xfId="0" applyNumberFormat="1" applyBorder="1" applyAlignment="1">
      <alignment horizontal="center" vertical="center"/>
    </xf>
    <xf numFmtId="9" fontId="0" fillId="0" borderId="15" xfId="33" applyFont="1" applyBorder="1" applyAlignment="1" applyProtection="1">
      <alignment horizontal="center" vertical="center"/>
    </xf>
    <xf numFmtId="0" fontId="20" fillId="0" borderId="0" xfId="24" applyFont="1" applyAlignment="1">
      <alignment vertical="center"/>
    </xf>
    <xf numFmtId="0" fontId="47" fillId="0" borderId="0" xfId="48" applyFont="1" applyAlignment="1">
      <alignment vertical="center"/>
    </xf>
    <xf numFmtId="0" fontId="41" fillId="6" borderId="24" xfId="0" applyFont="1" applyFill="1" applyBorder="1" applyAlignment="1">
      <alignment vertical="center"/>
    </xf>
    <xf numFmtId="0" fontId="54" fillId="0" borderId="7" xfId="0" applyFont="1" applyBorder="1" applyAlignment="1">
      <alignment horizontal="center" vertical="center"/>
    </xf>
    <xf numFmtId="0" fontId="23" fillId="6" borderId="9" xfId="0" applyFont="1" applyFill="1" applyBorder="1" applyAlignment="1">
      <alignment vertical="center"/>
    </xf>
    <xf numFmtId="171" fontId="43" fillId="3" borderId="13" xfId="103" applyNumberFormat="1" applyAlignment="1" applyProtection="1">
      <alignment horizontal="center" vertical="center"/>
    </xf>
    <xf numFmtId="0" fontId="37" fillId="0" borderId="0" xfId="48" applyFont="1" applyAlignment="1">
      <alignment horizontal="right" vertical="center"/>
    </xf>
    <xf numFmtId="0" fontId="0" fillId="14" borderId="25" xfId="0" applyFill="1" applyBorder="1" applyAlignment="1" applyProtection="1">
      <alignment vertical="center"/>
      <protection locked="0"/>
    </xf>
    <xf numFmtId="0" fontId="47" fillId="0" borderId="0" xfId="0" applyFont="1" applyAlignment="1">
      <alignment horizontal="right" vertical="center"/>
    </xf>
    <xf numFmtId="0" fontId="41" fillId="6" borderId="38" xfId="0" applyFont="1" applyFill="1" applyBorder="1" applyAlignment="1">
      <alignment horizontal="center" vertical="center" wrapText="1"/>
    </xf>
    <xf numFmtId="0" fontId="14" fillId="0" borderId="0" xfId="110" applyFill="1" applyBorder="1" applyAlignment="1" applyProtection="1">
      <alignment horizontal="left" vertical="center" wrapText="1"/>
    </xf>
    <xf numFmtId="0" fontId="0" fillId="8" borderId="26" xfId="108" applyFont="1" applyAlignment="1" applyProtection="1">
      <alignment horizontal="left" vertical="center"/>
    </xf>
    <xf numFmtId="171" fontId="15" fillId="0" borderId="40" xfId="4" applyNumberFormat="1" applyFill="1" applyBorder="1" applyAlignment="1" applyProtection="1">
      <alignment horizontal="center" vertical="center"/>
    </xf>
    <xf numFmtId="171" fontId="15" fillId="0" borderId="43" xfId="4" applyNumberFormat="1" applyFill="1" applyBorder="1" applyAlignment="1" applyProtection="1">
      <alignment horizontal="center" vertical="center"/>
    </xf>
    <xf numFmtId="1" fontId="15" fillId="0" borderId="43" xfId="4" applyNumberFormat="1" applyFill="1" applyBorder="1" applyAlignment="1" applyProtection="1">
      <alignment horizontal="center" vertical="center"/>
    </xf>
    <xf numFmtId="0" fontId="20" fillId="8" borderId="26" xfId="108" applyFont="1" applyAlignment="1" applyProtection="1">
      <alignment vertical="center"/>
    </xf>
    <xf numFmtId="171" fontId="15" fillId="0" borderId="42" xfId="4" applyNumberFormat="1" applyFill="1" applyBorder="1" applyAlignment="1" applyProtection="1">
      <alignment horizontal="center" vertical="center"/>
    </xf>
    <xf numFmtId="49" fontId="15" fillId="0" borderId="18" xfId="4" applyNumberFormat="1" applyFill="1" applyBorder="1" applyAlignment="1" applyProtection="1">
      <alignment horizontal="left" vertical="center"/>
    </xf>
    <xf numFmtId="1" fontId="15" fillId="0" borderId="40" xfId="4" applyNumberFormat="1" applyFill="1" applyBorder="1" applyAlignment="1" applyProtection="1">
      <alignment horizontal="center" vertical="center"/>
    </xf>
    <xf numFmtId="0" fontId="14" fillId="0" borderId="0" xfId="110" applyFill="1" applyBorder="1" applyAlignment="1" applyProtection="1">
      <alignment horizontal="left" vertical="center"/>
    </xf>
    <xf numFmtId="2" fontId="0" fillId="0" borderId="6" xfId="0" applyNumberFormat="1" applyBorder="1" applyAlignment="1">
      <alignment horizontal="center" vertical="center"/>
    </xf>
    <xf numFmtId="0" fontId="0" fillId="0" borderId="0" xfId="0" applyAlignment="1">
      <alignment horizontal="center" vertical="center"/>
    </xf>
    <xf numFmtId="1" fontId="0" fillId="0" borderId="6" xfId="0" applyNumberFormat="1" applyBorder="1" applyAlignment="1">
      <alignment horizontal="center" vertical="center"/>
    </xf>
    <xf numFmtId="171" fontId="0" fillId="0" borderId="6" xfId="0" applyNumberFormat="1" applyBorder="1" applyAlignment="1">
      <alignment horizontal="center" vertical="center"/>
    </xf>
    <xf numFmtId="173" fontId="15" fillId="0" borderId="40" xfId="4" applyNumberFormat="1" applyFill="1" applyBorder="1" applyAlignment="1" applyProtection="1">
      <alignment horizontal="center" vertical="center"/>
    </xf>
    <xf numFmtId="2" fontId="15" fillId="0" borderId="40" xfId="4" applyNumberFormat="1" applyFill="1" applyBorder="1" applyAlignment="1" applyProtection="1">
      <alignment horizontal="center" vertical="center"/>
    </xf>
    <xf numFmtId="9" fontId="15" fillId="0" borderId="43" xfId="33" applyFont="1" applyFill="1" applyBorder="1" applyAlignment="1" applyProtection="1">
      <alignment horizontal="center" vertical="center"/>
    </xf>
    <xf numFmtId="168" fontId="15" fillId="0" borderId="40" xfId="47" applyNumberFormat="1" applyFont="1" applyFill="1" applyBorder="1" applyAlignment="1" applyProtection="1">
      <alignment horizontal="center" vertical="center"/>
    </xf>
    <xf numFmtId="168" fontId="15" fillId="0" borderId="43" xfId="47" applyNumberFormat="1" applyFont="1" applyFill="1" applyBorder="1" applyAlignment="1" applyProtection="1">
      <alignment horizontal="center" vertical="center"/>
    </xf>
    <xf numFmtId="176" fontId="15" fillId="0" borderId="40" xfId="4" applyNumberFormat="1" applyFill="1" applyBorder="1" applyAlignment="1" applyProtection="1">
      <alignment horizontal="center" vertical="center"/>
    </xf>
    <xf numFmtId="2" fontId="15" fillId="0" borderId="43" xfId="4" applyNumberFormat="1" applyFill="1" applyBorder="1" applyAlignment="1" applyProtection="1">
      <alignment horizontal="center" vertical="center"/>
    </xf>
    <xf numFmtId="0" fontId="14" fillId="0" borderId="0" xfId="110" applyAlignment="1" applyProtection="1">
      <alignment horizontal="left" vertical="center" wrapText="1"/>
    </xf>
    <xf numFmtId="1" fontId="15" fillId="0" borderId="42" xfId="4" applyNumberFormat="1" applyFill="1" applyBorder="1" applyAlignment="1" applyProtection="1">
      <alignment horizontal="center" vertical="center"/>
    </xf>
    <xf numFmtId="0" fontId="20" fillId="8" borderId="27" xfId="108" applyFont="1" applyBorder="1" applyAlignment="1" applyProtection="1">
      <alignment vertical="center"/>
    </xf>
    <xf numFmtId="171" fontId="15" fillId="0" borderId="48" xfId="4" applyNumberFormat="1" applyFill="1" applyBorder="1" applyAlignment="1" applyProtection="1">
      <alignment horizontal="center" vertical="center"/>
    </xf>
    <xf numFmtId="178" fontId="15" fillId="0" borderId="40" xfId="4" applyNumberFormat="1" applyFill="1" applyBorder="1" applyAlignment="1" applyProtection="1">
      <alignment horizontal="center" vertical="center"/>
    </xf>
    <xf numFmtId="0" fontId="47" fillId="0" borderId="0" xfId="0" applyFont="1" applyAlignment="1">
      <alignment horizontal="right"/>
    </xf>
    <xf numFmtId="0" fontId="14" fillId="0" borderId="0" xfId="110" applyFill="1" applyBorder="1" applyAlignment="1" applyProtection="1">
      <alignment horizontal="left"/>
    </xf>
    <xf numFmtId="0" fontId="47" fillId="0" borderId="0" xfId="0" applyFont="1" applyAlignment="1">
      <alignment horizontal="center"/>
    </xf>
    <xf numFmtId="1" fontId="15" fillId="0" borderId="40" xfId="4" applyNumberFormat="1" applyFill="1" applyBorder="1" applyAlignment="1" applyProtection="1">
      <alignment horizontal="left" vertical="center"/>
    </xf>
    <xf numFmtId="2" fontId="15" fillId="0" borderId="47" xfId="4" applyNumberFormat="1" applyFill="1" applyBorder="1" applyAlignment="1" applyProtection="1">
      <alignment horizontal="center" vertical="center"/>
    </xf>
    <xf numFmtId="0" fontId="20" fillId="0" borderId="0" xfId="0" applyFont="1"/>
    <xf numFmtId="1" fontId="15" fillId="0" borderId="43" xfId="4" applyNumberFormat="1" applyFill="1" applyBorder="1" applyAlignment="1" applyProtection="1">
      <alignment horizontal="left" vertical="center"/>
    </xf>
    <xf numFmtId="2" fontId="15" fillId="0" borderId="48" xfId="4" applyNumberFormat="1" applyFill="1" applyBorder="1" applyAlignment="1" applyProtection="1">
      <alignment horizontal="center" vertical="center"/>
    </xf>
    <xf numFmtId="1" fontId="15" fillId="0" borderId="18" xfId="4" applyNumberFormat="1" applyFill="1" applyBorder="1" applyAlignment="1" applyProtection="1">
      <alignment horizontal="left" vertical="center"/>
    </xf>
    <xf numFmtId="2" fontId="15" fillId="0" borderId="0" xfId="4" applyNumberFormat="1" applyFill="1" applyBorder="1" applyAlignment="1" applyProtection="1">
      <alignment horizontal="center" vertical="center"/>
    </xf>
    <xf numFmtId="9" fontId="15" fillId="0" borderId="48" xfId="33" applyFont="1" applyFill="1" applyBorder="1" applyAlignment="1" applyProtection="1">
      <alignment horizontal="center" vertical="center"/>
    </xf>
    <xf numFmtId="1" fontId="15" fillId="0" borderId="47" xfId="4" applyNumberFormat="1" applyFill="1" applyBorder="1" applyAlignment="1" applyProtection="1">
      <alignment horizontal="left" vertical="center"/>
    </xf>
    <xf numFmtId="1" fontId="15" fillId="0" borderId="48" xfId="4" applyNumberFormat="1" applyFill="1" applyBorder="1" applyAlignment="1" applyProtection="1">
      <alignment horizontal="left" vertical="center"/>
    </xf>
    <xf numFmtId="0" fontId="20" fillId="0" borderId="0" xfId="39" applyAlignment="1">
      <alignment vertical="center" wrapText="1"/>
    </xf>
    <xf numFmtId="2" fontId="20" fillId="0" borderId="0" xfId="39" applyNumberFormat="1" applyAlignment="1">
      <alignment vertical="center" wrapText="1"/>
    </xf>
    <xf numFmtId="0" fontId="20" fillId="0" borderId="0" xfId="39" applyAlignment="1">
      <alignment horizontal="left" vertical="center" wrapText="1"/>
    </xf>
    <xf numFmtId="0" fontId="91" fillId="0" borderId="0" xfId="39" applyFont="1" applyAlignment="1">
      <alignment horizontal="right" vertical="center" wrapText="1"/>
    </xf>
    <xf numFmtId="4" fontId="23" fillId="11" borderId="6" xfId="39" applyNumberFormat="1" applyFont="1" applyFill="1" applyBorder="1" applyAlignment="1">
      <alignment horizontal="center" vertical="center" wrapText="1"/>
    </xf>
    <xf numFmtId="0" fontId="41" fillId="10" borderId="6" xfId="39" applyFont="1" applyFill="1" applyBorder="1" applyAlignment="1">
      <alignment horizontal="center" vertical="center" wrapText="1"/>
    </xf>
    <xf numFmtId="0" fontId="60" fillId="10" borderId="6" xfId="39" applyFont="1" applyFill="1" applyBorder="1" applyAlignment="1">
      <alignment horizontal="center" vertical="center" wrapText="1"/>
    </xf>
    <xf numFmtId="4" fontId="60" fillId="10" borderId="6" xfId="39" applyNumberFormat="1" applyFont="1" applyFill="1" applyBorder="1" applyAlignment="1">
      <alignment horizontal="center" vertical="center" wrapText="1"/>
    </xf>
    <xf numFmtId="49" fontId="23" fillId="11" borderId="6" xfId="39" applyNumberFormat="1" applyFont="1" applyFill="1" applyBorder="1" applyAlignment="1">
      <alignment vertical="center" wrapText="1"/>
    </xf>
    <xf numFmtId="0" fontId="61" fillId="12" borderId="6" xfId="39" applyFont="1" applyFill="1" applyBorder="1" applyAlignment="1">
      <alignment horizontal="center" vertical="center" wrapText="1"/>
    </xf>
    <xf numFmtId="4" fontId="23" fillId="11" borderId="32" xfId="39" applyNumberFormat="1" applyFont="1" applyFill="1" applyBorder="1" applyAlignment="1">
      <alignment horizontal="center" vertical="center" wrapText="1"/>
    </xf>
    <xf numFmtId="0" fontId="62" fillId="13" borderId="6" xfId="39" applyFont="1" applyFill="1" applyBorder="1" applyAlignment="1">
      <alignment vertical="center"/>
    </xf>
    <xf numFmtId="49" fontId="62" fillId="13" borderId="6" xfId="39" applyNumberFormat="1" applyFont="1" applyFill="1" applyBorder="1" applyAlignment="1">
      <alignment vertical="center"/>
    </xf>
    <xf numFmtId="0" fontId="20" fillId="11" borderId="0" xfId="39" applyFill="1" applyAlignment="1">
      <alignment vertical="center" wrapText="1"/>
    </xf>
    <xf numFmtId="2" fontId="20" fillId="11" borderId="6" xfId="39" applyNumberFormat="1" applyFill="1" applyBorder="1" applyAlignment="1">
      <alignment horizontal="left" vertical="center" wrapText="1"/>
    </xf>
    <xf numFmtId="0" fontId="20" fillId="11" borderId="6" xfId="39" applyFill="1" applyBorder="1" applyAlignment="1">
      <alignment horizontal="left" vertical="center" wrapText="1"/>
    </xf>
    <xf numFmtId="0" fontId="20" fillId="11" borderId="6" xfId="39" applyFill="1" applyBorder="1" applyAlignment="1">
      <alignment horizontal="center" vertical="center" wrapText="1"/>
    </xf>
    <xf numFmtId="9" fontId="20" fillId="11" borderId="6" xfId="33" applyFont="1" applyFill="1" applyBorder="1" applyAlignment="1" applyProtection="1">
      <alignment horizontal="center" vertical="center" wrapText="1"/>
    </xf>
    <xf numFmtId="172" fontId="20" fillId="11" borderId="6" xfId="33" applyNumberFormat="1" applyFont="1" applyFill="1" applyBorder="1" applyAlignment="1" applyProtection="1">
      <alignment horizontal="center" vertical="center" wrapText="1"/>
    </xf>
    <xf numFmtId="9" fontId="20" fillId="11" borderId="6" xfId="33" applyFont="1" applyFill="1" applyBorder="1" applyAlignment="1" applyProtection="1">
      <alignment vertical="center" wrapText="1"/>
    </xf>
    <xf numFmtId="0" fontId="20" fillId="11" borderId="33" xfId="39" applyFill="1" applyBorder="1" applyAlignment="1">
      <alignment horizontal="left" vertical="center" wrapText="1"/>
    </xf>
    <xf numFmtId="0" fontId="20" fillId="11" borderId="6" xfId="39" applyFill="1" applyBorder="1" applyAlignment="1">
      <alignment vertical="center" wrapText="1"/>
    </xf>
    <xf numFmtId="2" fontId="20" fillId="0" borderId="6" xfId="39" applyNumberFormat="1" applyBorder="1" applyAlignment="1">
      <alignment horizontal="left" vertical="center" wrapText="1"/>
    </xf>
    <xf numFmtId="0" fontId="20" fillId="0" borderId="6" xfId="39" applyBorder="1" applyAlignment="1">
      <alignment horizontal="left" vertical="center" wrapText="1"/>
    </xf>
    <xf numFmtId="0" fontId="20" fillId="0" borderId="6" xfId="39" applyBorder="1" applyAlignment="1">
      <alignment horizontal="center" vertical="center" wrapText="1"/>
    </xf>
    <xf numFmtId="0" fontId="20" fillId="11" borderId="6" xfId="39" quotePrefix="1" applyFill="1" applyBorder="1" applyAlignment="1">
      <alignment horizontal="center" vertical="center" wrapText="1"/>
    </xf>
    <xf numFmtId="166" fontId="20" fillId="11" borderId="6" xfId="113" quotePrefix="1" applyNumberFormat="1" applyFont="1" applyFill="1" applyBorder="1" applyAlignment="1" applyProtection="1">
      <alignment horizontal="left" vertical="center" wrapText="1"/>
    </xf>
    <xf numFmtId="181" fontId="20" fillId="11" borderId="6" xfId="33" applyNumberFormat="1" applyFont="1" applyFill="1" applyBorder="1" applyAlignment="1" applyProtection="1">
      <alignment horizontal="center" vertical="center" wrapText="1"/>
    </xf>
    <xf numFmtId="49" fontId="20" fillId="11" borderId="6" xfId="33" applyNumberFormat="1" applyFont="1" applyFill="1" applyBorder="1" applyAlignment="1" applyProtection="1">
      <alignment vertical="center" wrapText="1"/>
    </xf>
    <xf numFmtId="0" fontId="20" fillId="11" borderId="25" xfId="39" applyFill="1" applyBorder="1" applyAlignment="1">
      <alignment horizontal="left" vertical="center" wrapText="1"/>
    </xf>
    <xf numFmtId="0" fontId="20" fillId="11" borderId="6" xfId="113" applyNumberFormat="1" applyFont="1" applyFill="1" applyBorder="1" applyAlignment="1" applyProtection="1">
      <alignment horizontal="left" vertical="center" wrapText="1"/>
    </xf>
    <xf numFmtId="172" fontId="62" fillId="13" borderId="6" xfId="39" applyNumberFormat="1" applyFont="1" applyFill="1" applyBorder="1" applyAlignment="1">
      <alignment vertical="center"/>
    </xf>
    <xf numFmtId="0" fontId="20" fillId="11" borderId="0" xfId="39" applyFill="1" applyAlignment="1">
      <alignment vertical="center"/>
    </xf>
    <xf numFmtId="0" fontId="20" fillId="11" borderId="6" xfId="39" applyFill="1" applyBorder="1" applyAlignment="1">
      <alignment horizontal="center" vertical="center"/>
    </xf>
    <xf numFmtId="4" fontId="20" fillId="11" borderId="33" xfId="39" applyNumberFormat="1" applyFill="1" applyBorder="1" applyAlignment="1">
      <alignment horizontal="left" vertical="center" wrapText="1"/>
    </xf>
    <xf numFmtId="44" fontId="31" fillId="11" borderId="6" xfId="111" applyNumberFormat="1" applyFont="1" applyFill="1" applyBorder="1" applyAlignment="1" applyProtection="1">
      <alignment horizontal="left" vertical="center" wrapText="1"/>
    </xf>
    <xf numFmtId="0" fontId="31" fillId="11" borderId="6" xfId="111" applyFont="1" applyFill="1" applyBorder="1" applyAlignment="1" applyProtection="1">
      <alignment horizontal="left" vertical="center" wrapText="1"/>
    </xf>
    <xf numFmtId="180" fontId="20" fillId="11" borderId="6" xfId="33" applyNumberFormat="1" applyFont="1" applyFill="1" applyBorder="1" applyAlignment="1" applyProtection="1">
      <alignment horizontal="center" vertical="center" wrapText="1"/>
    </xf>
    <xf numFmtId="2" fontId="0" fillId="11" borderId="6" xfId="39" applyNumberFormat="1" applyFont="1" applyFill="1" applyBorder="1" applyAlignment="1">
      <alignment horizontal="left" vertical="center" wrapText="1"/>
    </xf>
    <xf numFmtId="166" fontId="0" fillId="11" borderId="6" xfId="113" applyNumberFormat="1" applyFont="1" applyFill="1" applyBorder="1" applyAlignment="1" applyProtection="1">
      <alignment horizontal="left" vertical="center" wrapText="1"/>
    </xf>
    <xf numFmtId="0" fontId="0" fillId="11" borderId="6" xfId="39" applyFont="1" applyFill="1" applyBorder="1" applyAlignment="1">
      <alignment horizontal="left" vertical="center" wrapText="1"/>
    </xf>
    <xf numFmtId="0" fontId="0" fillId="11" borderId="33" xfId="39" applyFont="1" applyFill="1" applyBorder="1" applyAlignment="1">
      <alignment horizontal="left" vertical="center" wrapText="1"/>
    </xf>
    <xf numFmtId="0" fontId="0" fillId="11" borderId="0" xfId="39" applyFont="1" applyFill="1" applyAlignment="1">
      <alignment vertical="center" wrapText="1"/>
    </xf>
    <xf numFmtId="166" fontId="31" fillId="11" borderId="6" xfId="111" applyNumberFormat="1" applyFont="1" applyFill="1" applyBorder="1" applyAlignment="1" applyProtection="1">
      <alignment horizontal="left" vertical="center" wrapText="1"/>
    </xf>
    <xf numFmtId="7" fontId="31" fillId="11" borderId="6" xfId="111" applyNumberFormat="1" applyFont="1" applyFill="1" applyBorder="1" applyAlignment="1" applyProtection="1">
      <alignment horizontal="left" vertical="center" wrapText="1"/>
    </xf>
    <xf numFmtId="44" fontId="20" fillId="11" borderId="6" xfId="94" applyNumberFormat="1" applyFont="1" applyFill="1" applyBorder="1" applyAlignment="1" applyProtection="1">
      <alignment horizontal="left" vertical="center" wrapText="1"/>
    </xf>
    <xf numFmtId="0" fontId="20" fillId="11" borderId="9" xfId="39" applyFill="1" applyBorder="1" applyAlignment="1">
      <alignment horizontal="left" vertical="center" wrapText="1"/>
    </xf>
    <xf numFmtId="9" fontId="20" fillId="11" borderId="6" xfId="113" applyNumberFormat="1" applyFont="1" applyFill="1" applyBorder="1" applyAlignment="1" applyProtection="1">
      <alignment horizontal="left" vertical="center" wrapText="1"/>
    </xf>
    <xf numFmtId="9" fontId="20" fillId="11" borderId="6" xfId="113" applyNumberFormat="1" applyFont="1" applyFill="1" applyBorder="1" applyAlignment="1" applyProtection="1">
      <alignment horizontal="center" vertical="center" wrapText="1"/>
    </xf>
    <xf numFmtId="9" fontId="20" fillId="11" borderId="22" xfId="113" applyNumberFormat="1" applyFont="1" applyFill="1" applyBorder="1" applyAlignment="1" applyProtection="1">
      <alignment horizontal="center" vertical="center" wrapText="1"/>
    </xf>
    <xf numFmtId="9" fontId="20" fillId="11" borderId="23" xfId="113" applyNumberFormat="1" applyFont="1" applyFill="1" applyBorder="1" applyAlignment="1" applyProtection="1">
      <alignment horizontal="center" vertical="center" wrapText="1"/>
    </xf>
    <xf numFmtId="0" fontId="20" fillId="0" borderId="0" xfId="39" applyAlignment="1">
      <alignment vertical="center"/>
    </xf>
    <xf numFmtId="2" fontId="20" fillId="0" borderId="0" xfId="39" applyNumberFormat="1" applyAlignment="1">
      <alignment vertical="center"/>
    </xf>
    <xf numFmtId="49" fontId="20" fillId="0" borderId="0" xfId="39" applyNumberFormat="1" applyAlignment="1">
      <alignment vertical="center"/>
    </xf>
    <xf numFmtId="9" fontId="20" fillId="14" borderId="0" xfId="33" applyFont="1" applyFill="1" applyAlignment="1" applyProtection="1">
      <alignment horizontal="center" vertical="center" wrapText="1"/>
      <protection locked="0" hidden="1"/>
    </xf>
    <xf numFmtId="3" fontId="20" fillId="14" borderId="0" xfId="39" applyNumberFormat="1" applyFill="1" applyAlignment="1" applyProtection="1">
      <alignment horizontal="center" vertical="center" wrapText="1"/>
      <protection locked="0" hidden="1"/>
    </xf>
    <xf numFmtId="0" fontId="14" fillId="0" borderId="0" xfId="110" applyAlignment="1" applyProtection="1">
      <alignment horizontal="center" vertical="center"/>
    </xf>
    <xf numFmtId="0" fontId="0" fillId="14" borderId="6" xfId="0" applyFill="1" applyBorder="1" applyAlignment="1" applyProtection="1">
      <alignment horizontal="left" vertical="center" wrapText="1"/>
      <protection locked="0"/>
    </xf>
    <xf numFmtId="0" fontId="67" fillId="0" borderId="0" xfId="0" applyFont="1" applyAlignment="1">
      <alignment horizontal="left"/>
    </xf>
    <xf numFmtId="0" fontId="42" fillId="6" borderId="6" xfId="39" applyFont="1" applyFill="1" applyBorder="1" applyAlignment="1">
      <alignment horizontal="left" vertical="center" indent="1"/>
    </xf>
    <xf numFmtId="0" fontId="46" fillId="0" borderId="0" xfId="0" applyFont="1" applyAlignment="1">
      <alignment horizontal="center"/>
    </xf>
    <xf numFmtId="0" fontId="21" fillId="0" borderId="17" xfId="0" applyFont="1" applyBorder="1" applyAlignment="1">
      <alignment horizontal="left" vertical="center" wrapText="1"/>
    </xf>
    <xf numFmtId="0" fontId="36" fillId="0" borderId="0" xfId="0" applyFont="1" applyAlignment="1">
      <alignment horizontal="left" vertical="center" wrapText="1"/>
    </xf>
    <xf numFmtId="2" fontId="20" fillId="0" borderId="0" xfId="0" applyNumberFormat="1" applyFont="1" applyAlignment="1">
      <alignment horizontal="center"/>
    </xf>
    <xf numFmtId="0" fontId="36" fillId="0" borderId="0" xfId="0" applyFont="1"/>
    <xf numFmtId="0" fontId="21" fillId="0" borderId="0" xfId="0" applyFont="1" applyAlignment="1">
      <alignment horizontal="center" vertical="center" wrapText="1"/>
    </xf>
    <xf numFmtId="176" fontId="21" fillId="0" borderId="0" xfId="0" applyNumberFormat="1" applyFont="1" applyAlignment="1">
      <alignment horizontal="center" vertical="center" wrapText="1"/>
    </xf>
    <xf numFmtId="0" fontId="21" fillId="0" borderId="0" xfId="0" applyFont="1" applyAlignment="1">
      <alignment horizontal="left" vertical="center"/>
    </xf>
    <xf numFmtId="0" fontId="21" fillId="0" borderId="17" xfId="0" applyFont="1" applyBorder="1" applyAlignment="1">
      <alignment horizontal="center" vertical="center" wrapText="1"/>
    </xf>
    <xf numFmtId="2" fontId="20" fillId="0" borderId="0" xfId="0" applyNumberFormat="1" applyFont="1" applyAlignment="1">
      <alignment horizontal="left"/>
    </xf>
    <xf numFmtId="0" fontId="21" fillId="0" borderId="0" xfId="0" applyFont="1"/>
    <xf numFmtId="0" fontId="76" fillId="8" borderId="26" xfId="108" applyFont="1" applyAlignment="1" applyProtection="1">
      <alignment horizontal="left" vertical="center" wrapText="1"/>
    </xf>
    <xf numFmtId="0" fontId="20" fillId="8" borderId="94" xfId="108" applyFont="1" applyBorder="1" applyAlignment="1" applyProtection="1">
      <alignment horizontal="left" vertical="center" wrapText="1"/>
    </xf>
    <xf numFmtId="0" fontId="20" fillId="8" borderId="83" xfId="108" applyFont="1" applyBorder="1" applyAlignment="1" applyProtection="1">
      <alignment horizontal="left" vertical="center" wrapText="1"/>
    </xf>
    <xf numFmtId="0" fontId="20" fillId="8" borderId="95" xfId="108" applyFont="1" applyBorder="1" applyAlignment="1" applyProtection="1">
      <alignment horizontal="left" vertical="center" wrapText="1"/>
    </xf>
    <xf numFmtId="0" fontId="20" fillId="8" borderId="31" xfId="108" applyFont="1" applyBorder="1" applyAlignment="1" applyProtection="1">
      <alignment horizontal="left" vertical="center" wrapText="1"/>
    </xf>
    <xf numFmtId="0" fontId="20" fillId="8" borderId="27" xfId="108" applyFont="1" applyBorder="1" applyAlignment="1" applyProtection="1">
      <alignment horizontal="left" vertical="center" wrapText="1"/>
    </xf>
    <xf numFmtId="174" fontId="20" fillId="8" borderId="31" xfId="108" applyNumberFormat="1" applyFont="1" applyBorder="1" applyAlignment="1" applyProtection="1">
      <alignment horizontal="left" vertical="center" wrapText="1"/>
    </xf>
    <xf numFmtId="174" fontId="0" fillId="8" borderId="27" xfId="108" applyNumberFormat="1" applyFont="1" applyBorder="1" applyAlignment="1" applyProtection="1">
      <alignment horizontal="left" vertical="center"/>
    </xf>
    <xf numFmtId="0" fontId="72" fillId="0" borderId="0" xfId="0" applyFont="1" applyAlignment="1">
      <alignment horizontal="left" vertical="center" wrapText="1"/>
    </xf>
    <xf numFmtId="0" fontId="20" fillId="0" borderId="0" xfId="0" applyFont="1" applyAlignment="1">
      <alignment horizontal="left" vertical="center" wrapText="1"/>
    </xf>
    <xf numFmtId="0" fontId="14" fillId="0" borderId="31" xfId="110" applyFill="1" applyBorder="1" applyAlignment="1" applyProtection="1">
      <alignment horizontal="center" vertical="center" wrapText="1"/>
    </xf>
    <xf numFmtId="0" fontId="14" fillId="0" borderId="27" xfId="110" applyFill="1" applyBorder="1" applyAlignment="1" applyProtection="1">
      <alignment horizontal="center" vertical="center" wrapText="1"/>
    </xf>
    <xf numFmtId="0" fontId="20" fillId="0" borderId="83" xfId="0" applyFont="1" applyBorder="1" applyAlignment="1">
      <alignment horizontal="left" vertical="center" wrapText="1"/>
    </xf>
    <xf numFmtId="0" fontId="41" fillId="6" borderId="53" xfId="0" applyFont="1" applyFill="1" applyBorder="1" applyAlignment="1">
      <alignment horizontal="left" vertical="center"/>
    </xf>
    <xf numFmtId="0" fontId="41" fillId="6" borderId="0" xfId="0" applyFont="1" applyFill="1" applyAlignment="1">
      <alignment horizontal="left" vertical="center"/>
    </xf>
    <xf numFmtId="0" fontId="20" fillId="0" borderId="0" xfId="0" applyFont="1" applyAlignment="1">
      <alignment vertical="center" wrapText="1"/>
    </xf>
    <xf numFmtId="0" fontId="15" fillId="14" borderId="24" xfId="4" applyFill="1" applyBorder="1" applyAlignment="1" applyProtection="1">
      <alignment horizontal="left" vertical="center" wrapText="1"/>
      <protection locked="0"/>
    </xf>
    <xf numFmtId="0" fontId="15" fillId="14" borderId="9" xfId="4" applyFill="1" applyBorder="1" applyAlignment="1" applyProtection="1">
      <alignment horizontal="left" vertical="center" wrapText="1"/>
      <protection locked="0"/>
    </xf>
    <xf numFmtId="0" fontId="15" fillId="14" borderId="25" xfId="4" applyFill="1" applyBorder="1" applyAlignment="1" applyProtection="1">
      <alignment horizontal="left" vertical="center" wrapText="1"/>
      <protection locked="0"/>
    </xf>
    <xf numFmtId="0" fontId="0" fillId="14" borderId="24" xfId="0" applyFill="1" applyBorder="1" applyAlignment="1" applyProtection="1">
      <alignment horizontal="left" vertical="center"/>
      <protection locked="0"/>
    </xf>
    <xf numFmtId="0" fontId="0" fillId="14" borderId="9" xfId="0" applyFill="1" applyBorder="1" applyAlignment="1" applyProtection="1">
      <alignment horizontal="left" vertical="center"/>
      <protection locked="0"/>
    </xf>
    <xf numFmtId="0" fontId="0" fillId="14" borderId="63" xfId="0" applyFill="1" applyBorder="1" applyAlignment="1" applyProtection="1">
      <alignment horizontal="left" vertical="center"/>
      <protection locked="0"/>
    </xf>
    <xf numFmtId="0" fontId="0" fillId="14" borderId="24" xfId="0" applyFill="1" applyBorder="1" applyAlignment="1" applyProtection="1">
      <alignment horizontal="center" vertical="center"/>
      <protection locked="0"/>
    </xf>
    <xf numFmtId="0" fontId="0" fillId="14" borderId="9" xfId="0" applyFill="1" applyBorder="1" applyAlignment="1" applyProtection="1">
      <alignment horizontal="center" vertical="center"/>
      <protection locked="0"/>
    </xf>
    <xf numFmtId="0" fontId="0" fillId="14" borderId="63" xfId="0" applyFill="1" applyBorder="1" applyAlignment="1" applyProtection="1">
      <alignment horizontal="center" vertical="center"/>
      <protection locked="0"/>
    </xf>
    <xf numFmtId="0" fontId="20" fillId="14" borderId="61" xfId="0" applyFont="1" applyFill="1" applyBorder="1" applyAlignment="1" applyProtection="1">
      <alignment horizontal="left" vertical="center"/>
      <protection locked="0"/>
    </xf>
    <xf numFmtId="0" fontId="20" fillId="14" borderId="7" xfId="0" applyFont="1" applyFill="1" applyBorder="1" applyAlignment="1" applyProtection="1">
      <alignment horizontal="left" vertical="center"/>
      <protection locked="0"/>
    </xf>
    <xf numFmtId="0" fontId="20" fillId="14" borderId="62" xfId="0" applyFont="1" applyFill="1" applyBorder="1" applyAlignment="1" applyProtection="1">
      <alignment horizontal="left" vertical="center"/>
      <protection locked="0"/>
    </xf>
    <xf numFmtId="0" fontId="21" fillId="8" borderId="67" xfId="108" applyFont="1" applyBorder="1" applyAlignment="1" applyProtection="1">
      <alignment horizontal="left" vertical="top" wrapText="1"/>
    </xf>
    <xf numFmtId="0" fontId="21" fillId="8" borderId="73" xfId="108" applyFont="1" applyBorder="1" applyAlignment="1" applyProtection="1">
      <alignment horizontal="left" vertical="top" wrapText="1"/>
    </xf>
    <xf numFmtId="0" fontId="82" fillId="19" borderId="54" xfId="108" applyFont="1" applyFill="1" applyBorder="1" applyAlignment="1">
      <alignment horizontal="left" vertical="top" wrapText="1"/>
    </xf>
    <xf numFmtId="0" fontId="82" fillId="19" borderId="55" xfId="108" applyFont="1" applyFill="1" applyBorder="1" applyAlignment="1">
      <alignment horizontal="left" vertical="top" wrapText="1"/>
    </xf>
    <xf numFmtId="0" fontId="82" fillId="19" borderId="56" xfId="108" applyFont="1" applyFill="1" applyBorder="1" applyAlignment="1">
      <alignment horizontal="left" vertical="top" wrapText="1"/>
    </xf>
    <xf numFmtId="0" fontId="82" fillId="19" borderId="57" xfId="108" applyFont="1" applyFill="1" applyBorder="1" applyAlignment="1">
      <alignment horizontal="left" vertical="top" wrapText="1"/>
    </xf>
    <xf numFmtId="0" fontId="0" fillId="8" borderId="67" xfId="108" applyFont="1" applyBorder="1" applyAlignment="1" applyProtection="1">
      <alignment horizontal="left" vertical="center" wrapText="1"/>
    </xf>
    <xf numFmtId="0" fontId="0" fillId="8" borderId="73" xfId="108" applyFont="1" applyBorder="1" applyAlignment="1" applyProtection="1">
      <alignment horizontal="left" vertical="center" wrapText="1"/>
    </xf>
    <xf numFmtId="0" fontId="0" fillId="8" borderId="59" xfId="108" applyFont="1" applyBorder="1" applyAlignment="1" applyProtection="1">
      <alignment horizontal="left" vertical="center" wrapText="1"/>
    </xf>
    <xf numFmtId="0" fontId="20" fillId="8" borderId="67" xfId="108" applyFont="1" applyBorder="1" applyAlignment="1" applyProtection="1">
      <alignment horizontal="left" vertical="center" wrapText="1"/>
    </xf>
    <xf numFmtId="0" fontId="20" fillId="8" borderId="73" xfId="108" applyFont="1" applyBorder="1" applyAlignment="1" applyProtection="1">
      <alignment horizontal="left" vertical="center" wrapText="1"/>
    </xf>
    <xf numFmtId="0" fontId="20" fillId="8" borderId="59" xfId="108" applyFont="1" applyBorder="1" applyAlignment="1" applyProtection="1">
      <alignment horizontal="left" vertical="center" wrapText="1"/>
    </xf>
    <xf numFmtId="0" fontId="14" fillId="0" borderId="2" xfId="3" applyAlignment="1" applyProtection="1">
      <alignment horizontal="center"/>
    </xf>
    <xf numFmtId="9" fontId="0" fillId="11" borderId="22" xfId="113" applyNumberFormat="1" applyFont="1" applyFill="1" applyBorder="1" applyAlignment="1" applyProtection="1">
      <alignment horizontal="center" vertical="center" wrapText="1"/>
    </xf>
    <xf numFmtId="9" fontId="0" fillId="11" borderId="23" xfId="113" applyNumberFormat="1" applyFont="1" applyFill="1" applyBorder="1" applyAlignment="1" applyProtection="1">
      <alignment horizontal="center" vertical="center" wrapText="1"/>
    </xf>
  </cellXfs>
  <cellStyles count="115">
    <cellStyle name="20% - Accent1 2" xfId="16" xr:uid="{00000000-0005-0000-0000-000000000000}"/>
    <cellStyle name="20% - Accent1 2 2" xfId="71" xr:uid="{00000000-0005-0000-0000-000001000000}"/>
    <cellStyle name="Bad" xfId="111" builtinId="27"/>
    <cellStyle name="Calculation" xfId="5" builtinId="22"/>
    <cellStyle name="Check Cell" xfId="105" builtinId="23"/>
    <cellStyle name="Comma" xfId="47" builtinId="3"/>
    <cellStyle name="Comma 2" xfId="17" xr:uid="{00000000-0005-0000-0000-000005000000}"/>
    <cellStyle name="Comma 2 2" xfId="29" xr:uid="{00000000-0005-0000-0000-000006000000}"/>
    <cellStyle name="Comma 2 2 2" xfId="62" xr:uid="{00000000-0005-0000-0000-000007000000}"/>
    <cellStyle name="Comma 2 2 2 2" xfId="100" xr:uid="{00000000-0005-0000-0000-000008000000}"/>
    <cellStyle name="Comma 2 2 3" xfId="79" xr:uid="{00000000-0005-0000-0000-000009000000}"/>
    <cellStyle name="Comma 2 3" xfId="72" xr:uid="{00000000-0005-0000-0000-00000A000000}"/>
    <cellStyle name="Comma 3" xfId="30" xr:uid="{00000000-0005-0000-0000-00000B000000}"/>
    <cellStyle name="Comma 3 2" xfId="80" xr:uid="{00000000-0005-0000-0000-00000C000000}"/>
    <cellStyle name="Comma 4" xfId="42" xr:uid="{00000000-0005-0000-0000-00000D000000}"/>
    <cellStyle name="Comma 4 2" xfId="86" xr:uid="{00000000-0005-0000-0000-00000E000000}"/>
    <cellStyle name="Comma 5" xfId="90" xr:uid="{00000000-0005-0000-0000-00000F000000}"/>
    <cellStyle name="Currency" xfId="1" builtinId="4"/>
    <cellStyle name="Currency 2" xfId="14" xr:uid="{00000000-0005-0000-0000-000011000000}"/>
    <cellStyle name="Currency 2 2" xfId="8" xr:uid="{00000000-0005-0000-0000-000012000000}"/>
    <cellStyle name="Currency 2 2 2" xfId="35" xr:uid="{00000000-0005-0000-0000-000013000000}"/>
    <cellStyle name="Currency 2 2 2 2" xfId="82" xr:uid="{00000000-0005-0000-0000-000014000000}"/>
    <cellStyle name="Currency 2 2 3" xfId="51" xr:uid="{00000000-0005-0000-0000-000015000000}"/>
    <cellStyle name="Currency 2 2 3 2" xfId="93" xr:uid="{00000000-0005-0000-0000-000016000000}"/>
    <cellStyle name="Currency 2 3" xfId="27" xr:uid="{00000000-0005-0000-0000-000017000000}"/>
    <cellStyle name="Currency 2 3 2" xfId="60" xr:uid="{00000000-0005-0000-0000-000018000000}"/>
    <cellStyle name="Currency 2 3 2 2" xfId="98" xr:uid="{00000000-0005-0000-0000-000019000000}"/>
    <cellStyle name="Currency 2 3 3" xfId="77" xr:uid="{00000000-0005-0000-0000-00001A000000}"/>
    <cellStyle name="Currency 2 4" xfId="50" xr:uid="{00000000-0005-0000-0000-00001B000000}"/>
    <cellStyle name="Currency 2 4 2" xfId="92" xr:uid="{00000000-0005-0000-0000-00001C000000}"/>
    <cellStyle name="Currency 2 5" xfId="69" xr:uid="{00000000-0005-0000-0000-00001D000000}"/>
    <cellStyle name="Currency 2 6" xfId="113" xr:uid="{946828FD-4289-4369-B432-907DFEEF1000}"/>
    <cellStyle name="Currency 3" xfId="7" xr:uid="{00000000-0005-0000-0000-00001E000000}"/>
    <cellStyle name="Currency 3 2" xfId="37" xr:uid="{00000000-0005-0000-0000-00001F000000}"/>
    <cellStyle name="Currency 3 2 2" xfId="83" xr:uid="{00000000-0005-0000-0000-000020000000}"/>
    <cellStyle name="Currency 3 3" xfId="52" xr:uid="{00000000-0005-0000-0000-000021000000}"/>
    <cellStyle name="Currency 3 3 2" xfId="94" xr:uid="{00000000-0005-0000-0000-000022000000}"/>
    <cellStyle name="Currency 4" xfId="23" xr:uid="{00000000-0005-0000-0000-000023000000}"/>
    <cellStyle name="Currency 4 2" xfId="53" xr:uid="{00000000-0005-0000-0000-000024000000}"/>
    <cellStyle name="Currency 4 2 2" xfId="95" xr:uid="{00000000-0005-0000-0000-000025000000}"/>
    <cellStyle name="Currency 4 3" xfId="61" xr:uid="{00000000-0005-0000-0000-000026000000}"/>
    <cellStyle name="Currency 4 3 2" xfId="99" xr:uid="{00000000-0005-0000-0000-000027000000}"/>
    <cellStyle name="Currency 4 4" xfId="76" xr:uid="{00000000-0005-0000-0000-000028000000}"/>
    <cellStyle name="Currency 5" xfId="45" xr:uid="{00000000-0005-0000-0000-000029000000}"/>
    <cellStyle name="Currency 5 2" xfId="88" xr:uid="{00000000-0005-0000-0000-00002A000000}"/>
    <cellStyle name="Currency 6" xfId="112" xr:uid="{8E3E5B40-8A58-4FBB-B33B-2558534C5CC3}"/>
    <cellStyle name="Explanatory Text" xfId="109" builtinId="53"/>
    <cellStyle name="Heading 2" xfId="2" builtinId="17"/>
    <cellStyle name="Heading 3" xfId="3" builtinId="18"/>
    <cellStyle name="Heading 4" xfId="110" builtinId="19"/>
    <cellStyle name="Hyperlink" xfId="12" builtinId="8"/>
    <cellStyle name="Hyperlink 2" xfId="25" xr:uid="{00000000-0005-0000-0000-000030000000}"/>
    <cellStyle name="Hyperlink 2 2" xfId="55" xr:uid="{00000000-0005-0000-0000-000031000000}"/>
    <cellStyle name="Hyperlink 2 3" xfId="54" xr:uid="{00000000-0005-0000-0000-000032000000}"/>
    <cellStyle name="Input" xfId="4" builtinId="20"/>
    <cellStyle name="Linked Cell" xfId="6" builtinId="24"/>
    <cellStyle name="Normal" xfId="0" builtinId="0"/>
    <cellStyle name="Normal 10" xfId="106" xr:uid="{ED5E3E67-EB87-43B7-9CDA-2B2AA05FC317}"/>
    <cellStyle name="Normal 11" xfId="107" xr:uid="{637DC89B-9799-462C-BFFF-2DC817885CCA}"/>
    <cellStyle name="Normal 2" xfId="13" xr:uid="{00000000-0005-0000-0000-000036000000}"/>
    <cellStyle name="Normal 2 2" xfId="32" xr:uid="{00000000-0005-0000-0000-000037000000}"/>
    <cellStyle name="Normal 2 2 2" xfId="57" xr:uid="{00000000-0005-0000-0000-000038000000}"/>
    <cellStyle name="Normal 2 2 2 2" xfId="96" xr:uid="{00000000-0005-0000-0000-000039000000}"/>
    <cellStyle name="Normal 2 3" xfId="40" xr:uid="{00000000-0005-0000-0000-00003A000000}"/>
    <cellStyle name="Normal 2 3 2" xfId="85" xr:uid="{00000000-0005-0000-0000-00003B000000}"/>
    <cellStyle name="Normal 2 4" xfId="10" xr:uid="{00000000-0005-0000-0000-00003C000000}"/>
    <cellStyle name="Normal 2 4 2" xfId="39" xr:uid="{00000000-0005-0000-0000-00003D000000}"/>
    <cellStyle name="Normal 2 5" xfId="48" xr:uid="{00000000-0005-0000-0000-00003E000000}"/>
    <cellStyle name="Normal 2 5 2" xfId="91" xr:uid="{00000000-0005-0000-0000-00003F000000}"/>
    <cellStyle name="Normal 2 6" xfId="11" xr:uid="{00000000-0005-0000-0000-000040000000}"/>
    <cellStyle name="Normal 2 6 2" xfId="67" xr:uid="{00000000-0005-0000-0000-000041000000}"/>
    <cellStyle name="Normal 2 7" xfId="59" xr:uid="{00000000-0005-0000-0000-000042000000}"/>
    <cellStyle name="Normal 2 7 2" xfId="97" xr:uid="{00000000-0005-0000-0000-000043000000}"/>
    <cellStyle name="Normal 2 8" xfId="64" xr:uid="{00000000-0005-0000-0000-000044000000}"/>
    <cellStyle name="Normal 2 8 2" xfId="101" xr:uid="{00000000-0005-0000-0000-000045000000}"/>
    <cellStyle name="Normal 2 9" xfId="68" xr:uid="{00000000-0005-0000-0000-000046000000}"/>
    <cellStyle name="Normal 3" xfId="9" xr:uid="{00000000-0005-0000-0000-000047000000}"/>
    <cellStyle name="Normal 3 2" xfId="26" xr:uid="{00000000-0005-0000-0000-000048000000}"/>
    <cellStyle name="Normal 3 2 2" xfId="63" xr:uid="{00000000-0005-0000-0000-000049000000}"/>
    <cellStyle name="Normal 3 3" xfId="36" xr:uid="{00000000-0005-0000-0000-00004A000000}"/>
    <cellStyle name="Normal 4" xfId="24" xr:uid="{00000000-0005-0000-0000-00004B000000}"/>
    <cellStyle name="Normal 4 2" xfId="56" xr:uid="{00000000-0005-0000-0000-00004C000000}"/>
    <cellStyle name="Normal 4 3" xfId="58" xr:uid="{00000000-0005-0000-0000-00004D000000}"/>
    <cellStyle name="Normal 5" xfId="34" xr:uid="{00000000-0005-0000-0000-00004E000000}"/>
    <cellStyle name="Normal 6" xfId="38" xr:uid="{00000000-0005-0000-0000-00004F000000}"/>
    <cellStyle name="Normal 6 2" xfId="31" xr:uid="{00000000-0005-0000-0000-000050000000}"/>
    <cellStyle name="Normal 6 2 2" xfId="81" xr:uid="{00000000-0005-0000-0000-000051000000}"/>
    <cellStyle name="Normal 6 3" xfId="84" xr:uid="{00000000-0005-0000-0000-000052000000}"/>
    <cellStyle name="Normal 7" xfId="44" xr:uid="{00000000-0005-0000-0000-000053000000}"/>
    <cellStyle name="Normal 7 2" xfId="87" xr:uid="{00000000-0005-0000-0000-000054000000}"/>
    <cellStyle name="Normal 8" xfId="49" xr:uid="{00000000-0005-0000-0000-000055000000}"/>
    <cellStyle name="Normal 9" xfId="28" xr:uid="{00000000-0005-0000-0000-000056000000}"/>
    <cellStyle name="Normal 9 2" xfId="78" xr:uid="{00000000-0005-0000-0000-000057000000}"/>
    <cellStyle name="NormalBB" xfId="66" xr:uid="{00000000-0005-0000-0000-00005A000000}"/>
    <cellStyle name="NormalBorderedCentered" xfId="19" xr:uid="{00000000-0005-0000-0000-00005B000000}"/>
    <cellStyle name="NormalBorderedCentered 2" xfId="43" xr:uid="{00000000-0005-0000-0000-00005C000000}"/>
    <cellStyle name="NormalBorderedCenteredCommaRB" xfId="22" xr:uid="{00000000-0005-0000-0000-00005D000000}"/>
    <cellStyle name="NormalBorderedCenteredCommaRB 2" xfId="75" xr:uid="{00000000-0005-0000-0000-00005E000000}"/>
    <cellStyle name="NormalBorderedCenteredRB" xfId="20" xr:uid="{00000000-0005-0000-0000-00005F000000}"/>
    <cellStyle name="NormalBorderedCenteredRB 2" xfId="73" xr:uid="{00000000-0005-0000-0000-000060000000}"/>
    <cellStyle name="NormalLB" xfId="21" xr:uid="{00000000-0005-0000-0000-000061000000}"/>
    <cellStyle name="NormalLB 2" xfId="74" xr:uid="{00000000-0005-0000-0000-000062000000}"/>
    <cellStyle name="Note" xfId="108" builtinId="10"/>
    <cellStyle name="Note 2" xfId="114" xr:uid="{7246E4EA-03F3-441E-B106-78BBF886A1F0}"/>
    <cellStyle name="Output" xfId="103" builtinId="21"/>
    <cellStyle name="Percent" xfId="33" builtinId="5"/>
    <cellStyle name="Percent 2" xfId="15" xr:uid="{00000000-0005-0000-0000-000064000000}"/>
    <cellStyle name="Percent 2 2" xfId="65" xr:uid="{00000000-0005-0000-0000-000065000000}"/>
    <cellStyle name="Percent 2 2 2" xfId="102" xr:uid="{00000000-0005-0000-0000-000066000000}"/>
    <cellStyle name="Percent 2 3" xfId="70" xr:uid="{00000000-0005-0000-0000-000067000000}"/>
    <cellStyle name="Percent 3" xfId="41" xr:uid="{00000000-0005-0000-0000-000068000000}"/>
    <cellStyle name="Percent 4" xfId="46" xr:uid="{00000000-0005-0000-0000-000069000000}"/>
    <cellStyle name="Percent 4 2" xfId="89" xr:uid="{00000000-0005-0000-0000-00006A000000}"/>
    <cellStyle name="TableSubTitleTB" xfId="18" xr:uid="{00000000-0005-0000-0000-00006B000000}"/>
    <cellStyle name="Total" xfId="104" builtinId="25"/>
  </cellStyles>
  <dxfs count="404">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theme="9"/>
      </font>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theme="9"/>
      </font>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9C0006"/>
      </font>
      <fill>
        <patternFill>
          <bgColor rgb="FFFFC7CE"/>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9"/>
      </font>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9C0006"/>
      </font>
      <fill>
        <patternFill>
          <bgColor rgb="FFFFC7CE"/>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color rgb="FFFF0000"/>
      </font>
      <fill>
        <patternFill>
          <bgColor theme="5" tint="0.79998168889431442"/>
        </patternFill>
      </fill>
    </dxf>
    <dxf>
      <font>
        <b val="0"/>
        <i/>
        <color rgb="FFFF0000"/>
      </font>
    </dxf>
    <dxf>
      <font>
        <color theme="9"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fill>
        <patternFill>
          <bgColor theme="5" tint="0.59996337778862885"/>
        </patternFill>
      </fill>
    </dxf>
  </dxfs>
  <tableStyles count="0" defaultTableStyle="TableStyleMedium2" defaultPivotStyle="PivotStyleLight16"/>
  <colors>
    <mruColors>
      <color rgb="FFFFFF99"/>
      <color rgb="FFCC99FF"/>
      <color rgb="FFFFC7CE"/>
      <color rgb="FF9C0006"/>
      <color rgb="FF006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85725</xdr:rowOff>
    </xdr:from>
    <xdr:to>
      <xdr:col>1</xdr:col>
      <xdr:colOff>696272</xdr:colOff>
      <xdr:row>2</xdr:row>
      <xdr:rowOff>11365</xdr:rowOff>
    </xdr:to>
    <xdr:pic>
      <xdr:nvPicPr>
        <xdr:cNvPr id="3" name="Picture 2">
          <a:extLst>
            <a:ext uri="{FF2B5EF4-FFF2-40B4-BE49-F238E27FC236}">
              <a16:creationId xmlns:a16="http://schemas.microsoft.com/office/drawing/2014/main" id="{E3212886-00AC-BD27-7922-23CEFB2C873D}"/>
            </a:ext>
          </a:extLst>
        </xdr:cNvPr>
        <xdr:cNvPicPr>
          <a:picLocks noChangeAspect="1"/>
        </xdr:cNvPicPr>
      </xdr:nvPicPr>
      <xdr:blipFill>
        <a:blip xmlns:r="http://schemas.openxmlformats.org/officeDocument/2006/relationships" r:embed="rId1"/>
        <a:stretch>
          <a:fillRect/>
        </a:stretch>
      </xdr:blipFill>
      <xdr:spPr>
        <a:xfrm>
          <a:off x="295275" y="85725"/>
          <a:ext cx="664522" cy="722565"/>
        </a:xfrm>
        <a:prstGeom prst="rect">
          <a:avLst/>
        </a:prstGeom>
      </xdr:spPr>
    </xdr:pic>
    <xdr:clientData/>
  </xdr:twoCellAnchor>
  <xdr:twoCellAnchor editAs="oneCell">
    <xdr:from>
      <xdr:col>0</xdr:col>
      <xdr:colOff>184149</xdr:colOff>
      <xdr:row>67</xdr:row>
      <xdr:rowOff>47626</xdr:rowOff>
    </xdr:from>
    <xdr:to>
      <xdr:col>1</xdr:col>
      <xdr:colOff>752474</xdr:colOff>
      <xdr:row>67</xdr:row>
      <xdr:rowOff>352425</xdr:rowOff>
    </xdr:to>
    <xdr:pic>
      <xdr:nvPicPr>
        <xdr:cNvPr id="4" name="Picture 3">
          <a:extLst>
            <a:ext uri="{FF2B5EF4-FFF2-40B4-BE49-F238E27FC236}">
              <a16:creationId xmlns:a16="http://schemas.microsoft.com/office/drawing/2014/main" id="{53717551-03C1-8656-B3E5-A8FB9462FCAE}"/>
            </a:ext>
          </a:extLst>
        </xdr:cNvPr>
        <xdr:cNvPicPr>
          <a:picLocks noChangeAspect="1"/>
        </xdr:cNvPicPr>
      </xdr:nvPicPr>
      <xdr:blipFill rotWithShape="1">
        <a:blip xmlns:r="http://schemas.openxmlformats.org/officeDocument/2006/relationships" r:embed="rId2"/>
        <a:srcRect l="7505" t="21769" r="19389" b="27660"/>
        <a:stretch/>
      </xdr:blipFill>
      <xdr:spPr>
        <a:xfrm>
          <a:off x="184149" y="30546676"/>
          <a:ext cx="835025" cy="304799"/>
        </a:xfrm>
        <a:prstGeom prst="rect">
          <a:avLst/>
        </a:prstGeom>
      </xdr:spPr>
    </xdr:pic>
    <xdr:clientData/>
  </xdr:twoCellAnchor>
  <xdr:twoCellAnchor editAs="oneCell">
    <xdr:from>
      <xdr:col>1</xdr:col>
      <xdr:colOff>0</xdr:colOff>
      <xdr:row>64</xdr:row>
      <xdr:rowOff>114300</xdr:rowOff>
    </xdr:from>
    <xdr:to>
      <xdr:col>3</xdr:col>
      <xdr:colOff>342375</xdr:colOff>
      <xdr:row>64</xdr:row>
      <xdr:rowOff>925138</xdr:rowOff>
    </xdr:to>
    <xdr:pic>
      <xdr:nvPicPr>
        <xdr:cNvPr id="7" name="Picture 6">
          <a:extLst>
            <a:ext uri="{FF2B5EF4-FFF2-40B4-BE49-F238E27FC236}">
              <a16:creationId xmlns:a16="http://schemas.microsoft.com/office/drawing/2014/main" id="{051D73E0-6C4A-65EF-528E-97E2D3E49087}"/>
            </a:ext>
          </a:extLst>
        </xdr:cNvPr>
        <xdr:cNvPicPr>
          <a:picLocks noChangeAspect="1"/>
        </xdr:cNvPicPr>
      </xdr:nvPicPr>
      <xdr:blipFill>
        <a:blip xmlns:r="http://schemas.openxmlformats.org/officeDocument/2006/relationships" r:embed="rId3"/>
        <a:stretch>
          <a:fillRect/>
        </a:stretch>
      </xdr:blipFill>
      <xdr:spPr>
        <a:xfrm>
          <a:off x="266700" y="28860750"/>
          <a:ext cx="5666850" cy="8076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2</xdr:col>
      <xdr:colOff>29268</xdr:colOff>
      <xdr:row>6</xdr:row>
      <xdr:rowOff>77787</xdr:rowOff>
    </xdr:to>
    <xdr:pic>
      <xdr:nvPicPr>
        <xdr:cNvPr id="2" name="Picture 1">
          <a:extLst>
            <a:ext uri="{FF2B5EF4-FFF2-40B4-BE49-F238E27FC236}">
              <a16:creationId xmlns:a16="http://schemas.microsoft.com/office/drawing/2014/main" id="{3CB50AC5-DF86-B0EA-89C8-066C29D9A1B2}"/>
            </a:ext>
          </a:extLst>
        </xdr:cNvPr>
        <xdr:cNvPicPr>
          <a:picLocks noChangeAspect="1"/>
        </xdr:cNvPicPr>
      </xdr:nvPicPr>
      <xdr:blipFill>
        <a:blip xmlns:r="http://schemas.openxmlformats.org/officeDocument/2006/relationships" r:embed="rId1"/>
        <a:stretch>
          <a:fillRect/>
        </a:stretch>
      </xdr:blipFill>
      <xdr:spPr>
        <a:xfrm>
          <a:off x="609600" y="1133475"/>
          <a:ext cx="670618" cy="7254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11</xdr:col>
      <xdr:colOff>146049</xdr:colOff>
      <xdr:row>55</xdr:row>
      <xdr:rowOff>158750</xdr:rowOff>
    </xdr:from>
    <xdr:ext cx="6290263" cy="3051175"/>
    <xdr:pic>
      <xdr:nvPicPr>
        <xdr:cNvPr id="2" name="Picture 1">
          <a:extLst>
            <a:ext uri="{FF2B5EF4-FFF2-40B4-BE49-F238E27FC236}">
              <a16:creationId xmlns:a16="http://schemas.microsoft.com/office/drawing/2014/main" id="{E1E56C77-B5E1-4CDD-92E5-4A441ED81CD9}"/>
            </a:ext>
          </a:extLst>
        </xdr:cNvPr>
        <xdr:cNvPicPr>
          <a:picLocks noChangeAspect="1"/>
        </xdr:cNvPicPr>
      </xdr:nvPicPr>
      <xdr:blipFill>
        <a:blip xmlns:r="http://schemas.openxmlformats.org/officeDocument/2006/relationships" r:embed="rId1"/>
        <a:stretch>
          <a:fillRect/>
        </a:stretch>
      </xdr:blipFill>
      <xdr:spPr>
        <a:xfrm>
          <a:off x="11718924" y="16256000"/>
          <a:ext cx="6290263" cy="3051175"/>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resources.nsw.gov.au/"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concordpumps.com.au/" TargetMode="External"/><Relationship Id="rId1" Type="http://schemas.openxmlformats.org/officeDocument/2006/relationships/hyperlink" Target="https://hunterconcrete.com.au/about/our-flee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ngineeringtoolbox.com/metal-alloys-densities-d_50.html"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4369D-A235-43CD-85B1-3F8FE3750FE5}">
  <sheetPr codeName="Sheet1">
    <tabColor theme="4" tint="0.59999389629810485"/>
    <pageSetUpPr fitToPage="1"/>
  </sheetPr>
  <dimension ref="A2:D105"/>
  <sheetViews>
    <sheetView showGridLines="0" zoomScaleNormal="100" workbookViewId="0">
      <pane ySplit="3" topLeftCell="A65" activePane="bottomLeft" state="frozen"/>
      <selection pane="bottomLeft" activeCell="B101" sqref="B101"/>
    </sheetView>
  </sheetViews>
  <sheetFormatPr defaultColWidth="8.7109375" defaultRowHeight="12.75"/>
  <cols>
    <col min="1" max="1" width="3.85546875" style="231" customWidth="1"/>
    <col min="2" max="2" width="31.7109375" style="231" customWidth="1"/>
    <col min="3" max="4" width="44.42578125" style="231" customWidth="1"/>
    <col min="5" max="7" width="8.7109375" style="231"/>
    <col min="8" max="8" width="9" style="231" bestFit="1" customWidth="1"/>
    <col min="9" max="16384" width="8.7109375" style="231"/>
  </cols>
  <sheetData>
    <row r="2" spans="1:4" ht="50.45" customHeight="1"/>
    <row r="3" spans="1:4" ht="26.1" customHeight="1">
      <c r="B3" s="232" t="s">
        <v>0</v>
      </c>
    </row>
    <row r="4" spans="1:4" ht="15.95" customHeight="1">
      <c r="B4" s="259" t="s">
        <v>1</v>
      </c>
    </row>
    <row r="5" spans="1:4" ht="5.45" customHeight="1">
      <c r="B5" s="15"/>
    </row>
    <row r="6" spans="1:4" ht="18" customHeight="1">
      <c r="B6" s="900" t="s">
        <v>2</v>
      </c>
      <c r="C6" s="901"/>
      <c r="D6" s="901"/>
    </row>
    <row r="8" spans="1:4" ht="74.45" customHeight="1">
      <c r="B8" s="902" t="s">
        <v>3</v>
      </c>
      <c r="C8" s="902"/>
      <c r="D8" s="902"/>
    </row>
    <row r="9" spans="1:4" ht="48.6" customHeight="1">
      <c r="B9" s="902" t="s">
        <v>4</v>
      </c>
      <c r="C9" s="902"/>
      <c r="D9" s="902"/>
    </row>
    <row r="10" spans="1:4" ht="62.45" customHeight="1">
      <c r="B10" s="902" t="s">
        <v>5</v>
      </c>
      <c r="C10" s="902"/>
      <c r="D10" s="902"/>
    </row>
    <row r="11" spans="1:4" ht="51.95" customHeight="1">
      <c r="B11" s="902" t="s">
        <v>6</v>
      </c>
      <c r="C11" s="902"/>
      <c r="D11" s="902"/>
    </row>
    <row r="12" spans="1:4" s="234" customFormat="1" ht="15.95" customHeight="1">
      <c r="B12" s="260" t="s">
        <v>7</v>
      </c>
      <c r="C12" s="235"/>
      <c r="D12" s="235"/>
    </row>
    <row r="13" spans="1:4" s="234" customFormat="1" ht="4.5" customHeight="1">
      <c r="A13" s="235"/>
      <c r="B13" s="235"/>
      <c r="C13" s="235"/>
      <c r="D13" s="235"/>
    </row>
    <row r="14" spans="1:4">
      <c r="B14" s="236" t="s">
        <v>8</v>
      </c>
    </row>
    <row r="15" spans="1:4" ht="77.45" customHeight="1">
      <c r="B15" s="896" t="s">
        <v>9</v>
      </c>
      <c r="C15" s="896"/>
      <c r="D15" s="896"/>
    </row>
    <row r="16" spans="1:4" ht="34.5" customHeight="1">
      <c r="B16" s="895" t="s">
        <v>10</v>
      </c>
      <c r="C16" s="895"/>
      <c r="D16" s="895"/>
    </row>
    <row r="17" spans="2:4">
      <c r="B17" s="236" t="s">
        <v>11</v>
      </c>
    </row>
    <row r="18" spans="2:4" ht="24.95" customHeight="1">
      <c r="B18" s="896" t="s">
        <v>12</v>
      </c>
      <c r="C18" s="896"/>
      <c r="D18" s="896"/>
    </row>
    <row r="19" spans="2:4">
      <c r="B19" s="237"/>
      <c r="C19" s="237"/>
      <c r="D19" s="237"/>
    </row>
    <row r="20" spans="2:4" ht="18" customHeight="1">
      <c r="B20" s="238" t="s">
        <v>13</v>
      </c>
      <c r="C20" s="238"/>
      <c r="D20" s="238"/>
    </row>
    <row r="22" spans="2:4" ht="47.1" customHeight="1">
      <c r="B22" s="896" t="s">
        <v>14</v>
      </c>
      <c r="C22" s="896"/>
      <c r="D22" s="896"/>
    </row>
    <row r="23" spans="2:4" ht="15.95" customHeight="1">
      <c r="B23" s="239" t="s">
        <v>15</v>
      </c>
      <c r="C23" s="239" t="s">
        <v>16</v>
      </c>
      <c r="D23" s="239" t="s">
        <v>17</v>
      </c>
    </row>
    <row r="24" spans="2:4" ht="30" customHeight="1">
      <c r="B24" s="240" t="s">
        <v>18</v>
      </c>
      <c r="C24" s="240" t="s">
        <v>19</v>
      </c>
      <c r="D24" s="240" t="s">
        <v>20</v>
      </c>
    </row>
    <row r="25" spans="2:4" ht="27.95" customHeight="1">
      <c r="B25" s="241"/>
      <c r="C25" s="241"/>
      <c r="D25" s="241" t="s">
        <v>21</v>
      </c>
    </row>
    <row r="26" spans="2:4" ht="81" customHeight="1">
      <c r="B26" s="241"/>
      <c r="C26" s="241"/>
      <c r="D26" s="241" t="s">
        <v>22</v>
      </c>
    </row>
    <row r="27" spans="2:4" ht="30.95" customHeight="1">
      <c r="B27" s="242"/>
      <c r="C27" s="242"/>
      <c r="D27" s="241" t="s">
        <v>23</v>
      </c>
    </row>
    <row r="28" spans="2:4" ht="83.1" customHeight="1">
      <c r="B28" s="243" t="s">
        <v>24</v>
      </c>
      <c r="C28" s="244" t="s">
        <v>25</v>
      </c>
      <c r="D28" s="244" t="s">
        <v>26</v>
      </c>
    </row>
    <row r="29" spans="2:4" ht="85.5" customHeight="1">
      <c r="B29" s="243" t="s">
        <v>27</v>
      </c>
      <c r="C29" s="244" t="s">
        <v>28</v>
      </c>
      <c r="D29" s="244" t="s">
        <v>29</v>
      </c>
    </row>
    <row r="30" spans="2:4">
      <c r="B30" s="245" t="s">
        <v>30</v>
      </c>
      <c r="C30" s="245" t="s">
        <v>31</v>
      </c>
      <c r="D30" s="243" t="s">
        <v>32</v>
      </c>
    </row>
    <row r="31" spans="2:4">
      <c r="B31" s="246"/>
      <c r="C31" s="246"/>
      <c r="D31" s="243" t="s">
        <v>33</v>
      </c>
    </row>
    <row r="32" spans="2:4" ht="29.45" customHeight="1">
      <c r="B32" s="247"/>
      <c r="C32" s="247"/>
      <c r="D32" s="244" t="s">
        <v>34</v>
      </c>
    </row>
    <row r="33" spans="2:4">
      <c r="B33" s="245" t="s">
        <v>35</v>
      </c>
      <c r="C33" s="245" t="s">
        <v>36</v>
      </c>
      <c r="D33" s="244" t="s">
        <v>37</v>
      </c>
    </row>
    <row r="34" spans="2:4">
      <c r="B34" s="246"/>
      <c r="C34" s="246"/>
      <c r="D34" s="244" t="s">
        <v>33</v>
      </c>
    </row>
    <row r="35" spans="2:4" ht="29.45" customHeight="1">
      <c r="B35" s="246"/>
      <c r="C35" s="246"/>
      <c r="D35" s="244" t="s">
        <v>38</v>
      </c>
    </row>
    <row r="36" spans="2:4" ht="30.95" customHeight="1">
      <c r="B36" s="246"/>
      <c r="C36" s="246"/>
      <c r="D36" s="244" t="s">
        <v>39</v>
      </c>
    </row>
    <row r="37" spans="2:4" ht="26.45" customHeight="1">
      <c r="B37" s="247"/>
      <c r="C37" s="247"/>
      <c r="D37" s="244" t="s">
        <v>40</v>
      </c>
    </row>
    <row r="38" spans="2:4">
      <c r="B38" s="245" t="s">
        <v>41</v>
      </c>
      <c r="C38" s="245" t="s">
        <v>42</v>
      </c>
      <c r="D38" s="244" t="s">
        <v>43</v>
      </c>
    </row>
    <row r="39" spans="2:4" ht="39.950000000000003" customHeight="1">
      <c r="B39" s="246"/>
      <c r="C39" s="246"/>
      <c r="D39" s="244" t="s">
        <v>44</v>
      </c>
    </row>
    <row r="40" spans="2:4" ht="27.95" customHeight="1">
      <c r="B40" s="246"/>
      <c r="C40" s="246"/>
      <c r="D40" s="244" t="s">
        <v>39</v>
      </c>
    </row>
    <row r="41" spans="2:4" ht="27.6" customHeight="1">
      <c r="B41" s="247"/>
      <c r="C41" s="247"/>
      <c r="D41" s="244" t="s">
        <v>45</v>
      </c>
    </row>
    <row r="42" spans="2:4">
      <c r="B42" s="243" t="s">
        <v>46</v>
      </c>
      <c r="C42" s="243" t="s">
        <v>47</v>
      </c>
      <c r="D42" s="244" t="s">
        <v>48</v>
      </c>
    </row>
    <row r="43" spans="2:4">
      <c r="B43" s="243" t="s">
        <v>49</v>
      </c>
      <c r="C43" s="243" t="s">
        <v>50</v>
      </c>
      <c r="D43" s="244" t="s">
        <v>48</v>
      </c>
    </row>
    <row r="44" spans="2:4">
      <c r="B44" s="243" t="s">
        <v>51</v>
      </c>
      <c r="C44" s="243" t="s">
        <v>52</v>
      </c>
      <c r="D44" s="244" t="s">
        <v>48</v>
      </c>
    </row>
    <row r="46" spans="2:4" ht="18" customHeight="1">
      <c r="B46" s="238" t="s">
        <v>53</v>
      </c>
      <c r="C46" s="238"/>
      <c r="D46" s="238"/>
    </row>
    <row r="47" spans="2:4" ht="81" customHeight="1">
      <c r="B47" s="899" t="s">
        <v>54</v>
      </c>
      <c r="C47" s="899"/>
      <c r="D47" s="899"/>
    </row>
    <row r="48" spans="2:4" ht="15.95" customHeight="1">
      <c r="B48" s="239" t="s">
        <v>55</v>
      </c>
      <c r="C48" s="897" t="s">
        <v>56</v>
      </c>
      <c r="D48" s="898"/>
    </row>
    <row r="49" spans="2:4" ht="163.5" customHeight="1">
      <c r="B49" s="248" t="s">
        <v>57</v>
      </c>
      <c r="C49" s="891" t="s">
        <v>58</v>
      </c>
      <c r="D49" s="892"/>
    </row>
    <row r="50" spans="2:4" ht="357.6" customHeight="1">
      <c r="B50" s="248" t="s">
        <v>59</v>
      </c>
      <c r="C50" s="891" t="s">
        <v>60</v>
      </c>
      <c r="D50" s="892"/>
    </row>
    <row r="51" spans="2:4" ht="50.1" customHeight="1">
      <c r="B51" s="248" t="s">
        <v>53</v>
      </c>
      <c r="C51" s="893" t="s">
        <v>61</v>
      </c>
      <c r="D51" s="894"/>
    </row>
    <row r="53" spans="2:4" ht="18" customHeight="1">
      <c r="B53" s="238" t="s">
        <v>62</v>
      </c>
      <c r="C53" s="238"/>
      <c r="D53" s="238"/>
    </row>
    <row r="54" spans="2:4" ht="15.95" customHeight="1">
      <c r="B54" s="261">
        <v>100</v>
      </c>
      <c r="C54" s="249" t="s">
        <v>63</v>
      </c>
      <c r="D54" s="250"/>
    </row>
    <row r="55" spans="2:4" ht="15.95" customHeight="1">
      <c r="B55" s="262" t="s">
        <v>18</v>
      </c>
      <c r="C55" s="249" t="s">
        <v>64</v>
      </c>
      <c r="D55" s="250"/>
    </row>
    <row r="56" spans="2:4" ht="15.95" customHeight="1">
      <c r="B56" s="251">
        <f>'Cost Schedule'!D511</f>
        <v>17746.948711216752</v>
      </c>
      <c r="C56" s="252" t="s">
        <v>65</v>
      </c>
      <c r="D56" s="250"/>
    </row>
    <row r="57" spans="2:4" ht="15.95" customHeight="1">
      <c r="B57" s="265"/>
      <c r="C57" s="252" t="s">
        <v>66</v>
      </c>
      <c r="D57" s="250"/>
    </row>
    <row r="58" spans="2:4" ht="15">
      <c r="B58" s="266">
        <v>120000</v>
      </c>
      <c r="C58" s="253" t="s">
        <v>67</v>
      </c>
      <c r="D58" s="250"/>
    </row>
    <row r="59" spans="2:4" ht="15.95" customHeight="1">
      <c r="B59" s="263" t="s">
        <v>68</v>
      </c>
      <c r="C59" s="248" t="s">
        <v>69</v>
      </c>
      <c r="D59" s="254"/>
    </row>
    <row r="60" spans="2:4" ht="15.95" customHeight="1">
      <c r="B60" s="255" t="s">
        <v>70</v>
      </c>
      <c r="C60" s="253" t="s">
        <v>71</v>
      </c>
      <c r="D60" s="250"/>
    </row>
    <row r="61" spans="2:4" ht="15.95" customHeight="1">
      <c r="B61" s="256">
        <v>10220</v>
      </c>
      <c r="C61" s="252" t="s">
        <v>72</v>
      </c>
      <c r="D61" s="250"/>
    </row>
    <row r="63" spans="2:4" ht="18" customHeight="1">
      <c r="B63" s="238" t="s">
        <v>73</v>
      </c>
      <c r="C63" s="238"/>
      <c r="D63" s="238"/>
    </row>
    <row r="64" spans="2:4" ht="93.6" customHeight="1">
      <c r="B64" s="888" t="s">
        <v>74</v>
      </c>
      <c r="C64" s="889"/>
      <c r="D64" s="890"/>
    </row>
    <row r="65" spans="2:4" ht="84.6" customHeight="1"/>
    <row r="66" spans="2:4" ht="18" customHeight="1">
      <c r="B66" s="238" t="s">
        <v>75</v>
      </c>
      <c r="C66" s="238"/>
      <c r="D66" s="238"/>
    </row>
    <row r="67" spans="2:4" ht="104.45" customHeight="1">
      <c r="B67" s="888" t="s">
        <v>76</v>
      </c>
      <c r="C67" s="889"/>
      <c r="D67" s="890"/>
    </row>
    <row r="68" spans="2:4" ht="33.6" customHeight="1">
      <c r="C68" s="233"/>
    </row>
    <row r="69" spans="2:4" ht="33.6" customHeight="1">
      <c r="B69" s="257" t="s">
        <v>77</v>
      </c>
      <c r="C69" s="233"/>
    </row>
    <row r="70" spans="2:4" ht="18" customHeight="1">
      <c r="B70" s="238" t="s">
        <v>78</v>
      </c>
      <c r="C70" s="238" t="s">
        <v>79</v>
      </c>
      <c r="D70" s="238"/>
    </row>
    <row r="71" spans="2:4" ht="20.100000000000001" customHeight="1">
      <c r="B71" s="258" t="str">
        <f>B6</f>
        <v>Introduction</v>
      </c>
      <c r="C71" s="887" t="s">
        <v>80</v>
      </c>
      <c r="D71" s="887"/>
    </row>
    <row r="72" spans="2:4" ht="39.950000000000003" customHeight="1">
      <c r="B72" s="258" t="str">
        <f>Checklist_for_Title_Holders</f>
        <v>Checklist for Lease Holders</v>
      </c>
      <c r="C72" s="887" t="s">
        <v>81</v>
      </c>
      <c r="D72" s="887"/>
    </row>
    <row r="73" spans="2:4" ht="39.950000000000003" customHeight="1">
      <c r="B73" s="258" t="str">
        <f>'Key Changes since last RCE'!B5</f>
        <v>Key Changes since Last Rehabilitation Cost Estimate</v>
      </c>
      <c r="C73" s="887" t="s">
        <v>82</v>
      </c>
      <c r="D73" s="887"/>
    </row>
    <row r="74" spans="2:4" ht="39.950000000000003" customHeight="1">
      <c r="B74" s="258" t="str">
        <f>RCE_Summary</f>
        <v>RCE Summary</v>
      </c>
      <c r="C74" s="887" t="s">
        <v>83</v>
      </c>
      <c r="D74" s="887"/>
    </row>
    <row r="75" spans="2:4" ht="60" customHeight="1">
      <c r="B75" s="258" t="str">
        <f>Infrastructure_Area</f>
        <v>Infrastructure Area</v>
      </c>
      <c r="C75" s="887" t="s">
        <v>84</v>
      </c>
      <c r="D75" s="887"/>
    </row>
    <row r="76" spans="2:4" ht="20.100000000000001" customHeight="1">
      <c r="B76" s="258" t="str">
        <f>Infrastructure_Mine_Entries</f>
        <v>Infrastructure - Mine Entries</v>
      </c>
      <c r="C76" s="887" t="s">
        <v>85</v>
      </c>
      <c r="D76" s="887"/>
    </row>
    <row r="77" spans="2:4" ht="50.1" customHeight="1">
      <c r="B77" s="258" t="str">
        <f>Beneficiation_Facility</f>
        <v>Beneficiation Facility</v>
      </c>
      <c r="C77" s="887" t="s">
        <v>86</v>
      </c>
      <c r="D77" s="887"/>
    </row>
    <row r="78" spans="2:4" ht="20.100000000000001" customHeight="1">
      <c r="B78" s="258" t="s">
        <v>87</v>
      </c>
      <c r="C78" s="887" t="s">
        <v>88</v>
      </c>
      <c r="D78" s="887"/>
    </row>
    <row r="79" spans="2:4" ht="39.950000000000003" customHeight="1">
      <c r="B79" s="258" t="s">
        <v>89</v>
      </c>
      <c r="C79" s="887" t="s">
        <v>90</v>
      </c>
      <c r="D79" s="887"/>
    </row>
    <row r="80" spans="2:4" ht="20.100000000000001" customHeight="1">
      <c r="B80" s="258" t="str">
        <f>Overburden_Emplacement_Area</f>
        <v>Overburden Emplacement Area</v>
      </c>
      <c r="C80" s="887" t="s">
        <v>91</v>
      </c>
      <c r="D80" s="887"/>
    </row>
    <row r="81" spans="2:4" ht="39.950000000000003" customHeight="1">
      <c r="B81" s="258" t="str">
        <f>Active_Mining_Area__Open_Cut_Void</f>
        <v>Active Mining Area (Open Cut Void)</v>
      </c>
      <c r="C81" s="887" t="s">
        <v>92</v>
      </c>
      <c r="D81" s="887"/>
    </row>
    <row r="82" spans="2:4" ht="36.6" customHeight="1">
      <c r="B82" s="258" t="str">
        <f>Underground_Mining_Areas</f>
        <v>Underground Mining Areas</v>
      </c>
      <c r="C82" s="887" t="s">
        <v>93</v>
      </c>
      <c r="D82" s="887"/>
    </row>
    <row r="83" spans="2:4" ht="30" customHeight="1">
      <c r="B83" s="258" t="str">
        <f>Exploration</f>
        <v>Exploration</v>
      </c>
      <c r="C83" s="887" t="s">
        <v>94</v>
      </c>
      <c r="D83" s="887"/>
    </row>
    <row r="84" spans="2:4" ht="39.950000000000003" customHeight="1">
      <c r="B84" s="258" t="str">
        <f>Other_and_Sundry</f>
        <v>Other and Sundry</v>
      </c>
      <c r="C84" s="887" t="s">
        <v>95</v>
      </c>
      <c r="D84" s="887"/>
    </row>
    <row r="85" spans="2:4" ht="20.100000000000001" customHeight="1">
      <c r="B85" s="258" t="s">
        <v>96</v>
      </c>
      <c r="C85" s="887" t="s">
        <v>97</v>
      </c>
      <c r="D85" s="887"/>
    </row>
    <row r="86" spans="2:4" ht="20.100000000000001" customHeight="1">
      <c r="B86" s="258" t="s">
        <v>98</v>
      </c>
      <c r="C86" s="887" t="s">
        <v>99</v>
      </c>
      <c r="D86" s="887"/>
    </row>
    <row r="87" spans="2:4" ht="50.1" customHeight="1">
      <c r="B87" s="258" t="s">
        <v>100</v>
      </c>
      <c r="C87" s="887" t="s">
        <v>101</v>
      </c>
      <c r="D87" s="887"/>
    </row>
    <row r="88" spans="2:4" ht="39.950000000000003" customHeight="1">
      <c r="B88" s="258" t="s">
        <v>102</v>
      </c>
      <c r="C88" s="887" t="s">
        <v>103</v>
      </c>
      <c r="D88" s="887"/>
    </row>
    <row r="89" spans="2:4" ht="24.95" customHeight="1">
      <c r="B89" s="258" t="s">
        <v>104</v>
      </c>
      <c r="C89" s="887" t="s">
        <v>105</v>
      </c>
      <c r="D89" s="887"/>
    </row>
    <row r="90" spans="2:4" ht="24.95" customHeight="1">
      <c r="B90" s="258" t="s">
        <v>106</v>
      </c>
      <c r="C90" s="887" t="s">
        <v>107</v>
      </c>
      <c r="D90" s="887"/>
    </row>
    <row r="91" spans="2:4" ht="24.95" customHeight="1">
      <c r="B91" s="258" t="s">
        <v>108</v>
      </c>
      <c r="C91" s="887" t="s">
        <v>109</v>
      </c>
      <c r="D91" s="887"/>
    </row>
    <row r="92" spans="2:4" ht="39.950000000000003" customHeight="1">
      <c r="B92" s="258" t="str">
        <f>USER_NOTES</f>
        <v>User Notes</v>
      </c>
      <c r="C92" s="887" t="s">
        <v>110</v>
      </c>
      <c r="D92" s="887"/>
    </row>
    <row r="93" spans="2:4" ht="15.95" customHeight="1">
      <c r="C93" s="233"/>
    </row>
    <row r="94" spans="2:4" ht="18" customHeight="1">
      <c r="B94" s="238" t="s">
        <v>111</v>
      </c>
    </row>
    <row r="95" spans="2:4" ht="15.95" customHeight="1">
      <c r="B95" s="264" t="s">
        <v>1</v>
      </c>
    </row>
    <row r="96" spans="2:4" ht="15.95" customHeight="1">
      <c r="B96" s="264" t="str">
        <f>Infrastructure_Area</f>
        <v>Infrastructure Area</v>
      </c>
    </row>
    <row r="97" spans="2:2" ht="15.95" customHeight="1">
      <c r="B97" s="264" t="str">
        <f>Infrastructure_Mine_Entries</f>
        <v>Infrastructure - Mine Entries</v>
      </c>
    </row>
    <row r="98" spans="2:2" ht="15.95" customHeight="1">
      <c r="B98" s="264" t="str">
        <f>Beneficiation_Facility</f>
        <v>Beneficiation Facility</v>
      </c>
    </row>
    <row r="99" spans="2:2" ht="15.95" customHeight="1">
      <c r="B99" s="264" t="str">
        <f>Tailings_Storage_Facilities</f>
        <v>Tailings Storage Facilities</v>
      </c>
    </row>
    <row r="100" spans="2:2" ht="15.95" customHeight="1">
      <c r="B100" s="264" t="s">
        <v>89</v>
      </c>
    </row>
    <row r="101" spans="2:2" ht="15.95" customHeight="1">
      <c r="B101" s="264" t="str">
        <f>Overburden_Emplacement_Area</f>
        <v>Overburden Emplacement Area</v>
      </c>
    </row>
    <row r="102" spans="2:2" ht="15.95" customHeight="1">
      <c r="B102" s="264" t="str">
        <f>Active_Mining_Area__Open_Cut_Void</f>
        <v>Active Mining Area (Open Cut Void)</v>
      </c>
    </row>
    <row r="103" spans="2:2" ht="15.95" customHeight="1">
      <c r="B103" s="264" t="str">
        <f>Underground_Mining_Areas</f>
        <v>Underground Mining Areas</v>
      </c>
    </row>
    <row r="104" spans="2:2" ht="15.95" customHeight="1">
      <c r="B104" s="264" t="str">
        <f>Exploration</f>
        <v>Exploration</v>
      </c>
    </row>
    <row r="105" spans="2:2" ht="15.95" customHeight="1">
      <c r="B105" s="264" t="str">
        <f>Other_and_Sundry</f>
        <v>Other and Sundry</v>
      </c>
    </row>
  </sheetData>
  <sheetProtection algorithmName="SHA-512" hashValue="ZEzcIMX5Cn+8fG2wgcb3SSFtpWVrc0+Cv0sgEGhc8S+mJNkGC/wyveWTN3t0HVbtci3p3tSGHj0RJ0Rkt3iYWw==" saltValue="KsrTzFbXUt0us4usQEKQ/w==" spinCount="100000" sheet="1" objects="1" scenarios="1" autoFilter="0"/>
  <mergeCells count="38">
    <mergeCell ref="B15:D15"/>
    <mergeCell ref="B6:D6"/>
    <mergeCell ref="B8:D8"/>
    <mergeCell ref="B9:D9"/>
    <mergeCell ref="B10:D10"/>
    <mergeCell ref="B11:D11"/>
    <mergeCell ref="B64:D64"/>
    <mergeCell ref="B67:D67"/>
    <mergeCell ref="C50:D50"/>
    <mergeCell ref="C51:D51"/>
    <mergeCell ref="B16:D16"/>
    <mergeCell ref="B18:D18"/>
    <mergeCell ref="B22:D22"/>
    <mergeCell ref="C49:D49"/>
    <mergeCell ref="C48:D48"/>
    <mergeCell ref="B47:D47"/>
    <mergeCell ref="C71:D71"/>
    <mergeCell ref="C72:D72"/>
    <mergeCell ref="C73:D73"/>
    <mergeCell ref="C74:D74"/>
    <mergeCell ref="C75:D75"/>
    <mergeCell ref="C83:D83"/>
    <mergeCell ref="C81:D81"/>
    <mergeCell ref="C82:D82"/>
    <mergeCell ref="C84:D84"/>
    <mergeCell ref="C76:D76"/>
    <mergeCell ref="C79:D79"/>
    <mergeCell ref="C77:D77"/>
    <mergeCell ref="C78:D78"/>
    <mergeCell ref="C80:D80"/>
    <mergeCell ref="C85:D85"/>
    <mergeCell ref="C92:D92"/>
    <mergeCell ref="C86:D86"/>
    <mergeCell ref="C87:D87"/>
    <mergeCell ref="C88:D88"/>
    <mergeCell ref="C89:D89"/>
    <mergeCell ref="C90:D90"/>
    <mergeCell ref="C91:D91"/>
  </mergeCells>
  <conditionalFormatting sqref="B58">
    <cfRule type="cellIs" dxfId="403" priority="1" operator="notEqual">
      <formula>""""""</formula>
    </cfRule>
  </conditionalFormatting>
  <dataValidations disablePrompts="1" count="1">
    <dataValidation type="list" allowBlank="1" showInputMessage="1" showErrorMessage="1" sqref="B55" xr:uid="{463D1329-F9EE-4E15-BF07-B19390B3433B}">
      <formula1>Fleet_size_list</formula1>
    </dataValidation>
  </dataValidations>
  <hyperlinks>
    <hyperlink ref="B4" location="RCE_Summary" display="RCE Summary" xr:uid="{EB1ABCF7-4681-45EA-B4FB-DDD44242846A}"/>
    <hyperlink ref="B96" location="Infrastructure_Area" display="Infrastructure_Area" xr:uid="{F0DF3A97-2929-459F-8C7B-9A44DE40FD96}"/>
    <hyperlink ref="B99" location="Tailings_Storage_Facilities" display="Tailings_Storage_Facilities" xr:uid="{274004F3-836E-4BCE-ADE3-B0AD48370161}"/>
    <hyperlink ref="B100" location="Water_Management_Area" display="Water Management Area" xr:uid="{FEB56D83-0830-42CD-99C3-04B74FF06F54}"/>
    <hyperlink ref="B101" location="Overburden_Emplacement_Area" display="Overburden_Emplacement_Area" xr:uid="{DB64C8C7-ECA7-4941-82D5-9B43783339BC}"/>
    <hyperlink ref="B102" location="Active_Mining_Area__Open_Cut_Void" display="Active_Mining_Area__Open_Cut_Void" xr:uid="{6EE2EA68-DE8D-4444-BD93-7D55803D1542}"/>
    <hyperlink ref="B103" location="Underground_Mining_Areas" display="Underground_Mining_Areas" xr:uid="{C4CD019E-1F98-44CA-AD65-C16D73B01EDA}"/>
    <hyperlink ref="B98" location="Beneficiation_Facility" display="Beneficiation_Facility" xr:uid="{FF19436F-F0F8-4CC3-BA87-8129DFCF8E54}"/>
    <hyperlink ref="B104" location="Exploration" display="Exploration" xr:uid="{A74B436D-FC37-4075-90E4-DD0199F789D8}"/>
    <hyperlink ref="B105" location="Other_and_Sundry" display="Other_and_Sundry" xr:uid="{2518B022-00E2-4EFF-BC67-36186467DC0B}"/>
    <hyperlink ref="B95" location="RCE_Summary" display="RCE Summary" xr:uid="{3E688155-E1F0-411F-A864-38C643DD08DE}"/>
    <hyperlink ref="B97" location="Infrastructure_Mine_Entries" display="Infrastructure_Mine_Entries" xr:uid="{206E8230-09C0-44D0-81DB-A2693C1A7442}"/>
    <hyperlink ref="B12" r:id="rId1" xr:uid="{B555F8B3-DB65-49A9-88B9-7893C0D5B3D3}"/>
  </hyperlinks>
  <pageMargins left="0.7" right="0.7" top="0.75" bottom="0.75" header="0.3" footer="0.3"/>
  <pageSetup paperSize="9" scale="83"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425AD-FD72-4441-AAF1-3FD1F9C71D24}">
  <sheetPr codeName="Sheet14"/>
  <dimension ref="B8:D15"/>
  <sheetViews>
    <sheetView showGridLines="0" workbookViewId="0"/>
  </sheetViews>
  <sheetFormatPr defaultColWidth="8.7109375" defaultRowHeight="12.75"/>
  <cols>
    <col min="1" max="1" width="3.5703125" customWidth="1"/>
    <col min="2" max="2" width="9.28515625" bestFit="1" customWidth="1"/>
    <col min="3" max="3" width="14.28515625" bestFit="1" customWidth="1"/>
    <col min="4" max="4" width="86.140625" bestFit="1" customWidth="1"/>
  </cols>
  <sheetData>
    <row r="8" spans="2:4" ht="15.75">
      <c r="B8" s="232" t="str">
        <f>Name_main</f>
        <v>Rehabilitation Cost Estimate Tool - Mining New South Wales</v>
      </c>
    </row>
    <row r="9" spans="2:4" ht="15.75">
      <c r="B9" s="232"/>
    </row>
    <row r="10" spans="2:4" ht="30">
      <c r="B10" s="239" t="s">
        <v>112</v>
      </c>
      <c r="C10" s="239" t="s">
        <v>113</v>
      </c>
      <c r="D10" s="239" t="s">
        <v>114</v>
      </c>
    </row>
    <row r="11" spans="2:4" ht="38.25">
      <c r="B11" s="267">
        <v>45961</v>
      </c>
      <c r="C11" s="268" t="s">
        <v>115</v>
      </c>
      <c r="D11" s="269" t="s">
        <v>116</v>
      </c>
    </row>
    <row r="12" spans="2:4" ht="25.5">
      <c r="B12" s="267">
        <v>45989</v>
      </c>
      <c r="C12" s="268" t="s">
        <v>117</v>
      </c>
      <c r="D12" s="269" t="s">
        <v>118</v>
      </c>
    </row>
    <row r="13" spans="2:4" ht="51">
      <c r="B13" s="267">
        <v>46006</v>
      </c>
      <c r="C13" s="268" t="s">
        <v>119</v>
      </c>
      <c r="D13" s="269" t="s">
        <v>120</v>
      </c>
    </row>
    <row r="14" spans="2:4">
      <c r="B14" s="267"/>
      <c r="C14" s="268"/>
      <c r="D14" s="269"/>
    </row>
    <row r="15" spans="2:4">
      <c r="B15" s="270"/>
    </row>
  </sheetData>
  <sheetProtection algorithmName="SHA-512" hashValue="NmPnhuE9TLm7mTFCXV2shcPreuEgRQ8WbavcFnS5H8ed9a+fmy1VWAgGGrykBd8UEzlltAS8i0PKBLuQJzXpnw==" saltValue="U1PgrdWzhxK/nADEOuhcSg==" spinCount="100000" sheet="1" objects="1" scenarios="1" autoFilter="0"/>
  <phoneticPr fontId="9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57663-F4D2-4C57-84BA-8C58E80B7CB4}">
  <sheetPr codeName="Sheet2">
    <tabColor theme="4" tint="0.59999389629810485"/>
    <pageSetUpPr fitToPage="1"/>
  </sheetPr>
  <dimension ref="B2:E15"/>
  <sheetViews>
    <sheetView showGridLines="0" zoomScaleNormal="100" workbookViewId="0">
      <pane ySplit="8" topLeftCell="A9" activePane="bottomLeft" state="frozen"/>
      <selection pane="bottomLeft" activeCell="B15" sqref="B15"/>
    </sheetView>
  </sheetViews>
  <sheetFormatPr defaultColWidth="8.7109375" defaultRowHeight="12.75"/>
  <cols>
    <col min="1" max="1" width="3.85546875" customWidth="1"/>
    <col min="2" max="2" width="49.7109375" bestFit="1" customWidth="1"/>
    <col min="3" max="3" width="4.28515625" customWidth="1"/>
    <col min="4" max="4" width="11.140625" customWidth="1"/>
    <col min="5" max="5" width="43" customWidth="1"/>
  </cols>
  <sheetData>
    <row r="2" spans="2:5" ht="24.95" customHeight="1">
      <c r="B2" s="232" t="str">
        <f>Name_main</f>
        <v>Rehabilitation Cost Estimate Tool - Mining New South Wales</v>
      </c>
    </row>
    <row r="3" spans="2:5" ht="15" customHeight="1">
      <c r="B3" s="271" t="str">
        <f>CONCATENATE(CompanyName," - ",Mine_Name)</f>
        <v>Boral Cement - Marulan South Limestone Mine</v>
      </c>
      <c r="E3" s="259" t="s">
        <v>1</v>
      </c>
    </row>
    <row r="4" spans="2:5" ht="15" customHeight="1"/>
    <row r="5" spans="2:5" ht="18" customHeight="1">
      <c r="B5" s="238" t="s">
        <v>121</v>
      </c>
      <c r="C5" s="238"/>
      <c r="D5" s="238"/>
      <c r="E5" s="238"/>
    </row>
    <row r="7" spans="2:5" ht="15">
      <c r="B7" s="272" t="s">
        <v>122</v>
      </c>
      <c r="D7" s="273" t="s">
        <v>123</v>
      </c>
      <c r="E7" s="274" t="s">
        <v>124</v>
      </c>
    </row>
    <row r="9" spans="2:5" ht="38.25">
      <c r="B9" s="275" t="s">
        <v>125</v>
      </c>
      <c r="D9" s="276" t="s">
        <v>126</v>
      </c>
      <c r="E9" s="277" t="s">
        <v>127</v>
      </c>
    </row>
    <row r="10" spans="2:5">
      <c r="B10" s="234"/>
      <c r="D10" s="231"/>
    </row>
    <row r="11" spans="2:5" ht="38.25">
      <c r="B11" s="275" t="s">
        <v>128</v>
      </c>
      <c r="D11" s="276" t="s">
        <v>126</v>
      </c>
      <c r="E11" s="277" t="s">
        <v>127</v>
      </c>
    </row>
    <row r="12" spans="2:5">
      <c r="B12" s="234"/>
      <c r="D12" s="231"/>
    </row>
    <row r="13" spans="2:5" ht="45">
      <c r="B13" s="275" t="s">
        <v>129</v>
      </c>
      <c r="D13" s="276" t="s">
        <v>126</v>
      </c>
      <c r="E13" s="277" t="s">
        <v>130</v>
      </c>
    </row>
    <row r="14" spans="2:5">
      <c r="B14" s="234"/>
      <c r="D14" s="231"/>
    </row>
    <row r="15" spans="2:5" ht="120">
      <c r="B15" s="275" t="s">
        <v>131</v>
      </c>
      <c r="D15" s="276" t="s">
        <v>132</v>
      </c>
      <c r="E15" s="277"/>
    </row>
  </sheetData>
  <sheetProtection algorithmName="SHA-512" hashValue="VEnSY39WoQmnRudM4Jlo5ZjXx7G07tgKwHj6c77wLD63mmdXAQvhbjIcCT2bsXCP0FTzV9U3dLgrrduk18MABA==" saltValue="+vaykSGXJhIOSzU10E1Mqg==" spinCount="100000" sheet="1" objects="1" scenarios="1" autoFilter="0"/>
  <dataValidations count="1">
    <dataValidation type="list" allowBlank="1" showInputMessage="1" showErrorMessage="1" sqref="D9 D11 D13 D15" xr:uid="{6D425DE8-A6FD-42EA-A556-D76452689493}">
      <formula1>Yes_No_NA</formula1>
    </dataValidation>
  </dataValidations>
  <hyperlinks>
    <hyperlink ref="E3" location="RCE_Summary" display="RCE Summary" xr:uid="{309DB01A-42A3-4A6B-B589-658E80CCC24A}"/>
  </hyperlinks>
  <pageMargins left="0.7" right="0.7" top="0.75" bottom="0.75" header="0.3" footer="0.3"/>
  <pageSetup paperSize="9" scale="8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0935-5820-4674-AF65-168E03084547}">
  <sheetPr codeName="Sheet4">
    <tabColor theme="4" tint="0.59999389629810485"/>
    <pageSetUpPr fitToPage="1"/>
  </sheetPr>
  <dimension ref="B2:F28"/>
  <sheetViews>
    <sheetView showGridLines="0" topLeftCell="C1" zoomScale="115" zoomScaleNormal="115" workbookViewId="0">
      <pane ySplit="9" topLeftCell="A10" activePane="bottomLeft" state="frozen"/>
      <selection pane="bottomLeft" activeCell="F14" sqref="F14"/>
    </sheetView>
  </sheetViews>
  <sheetFormatPr defaultColWidth="8.7109375" defaultRowHeight="12.75"/>
  <cols>
    <col min="1" max="1" width="3.85546875" style="231" customWidth="1"/>
    <col min="2" max="2" width="43.5703125" style="231" customWidth="1"/>
    <col min="3" max="5" width="27" style="231" customWidth="1"/>
    <col min="6" max="6" width="97.85546875" style="231" customWidth="1"/>
    <col min="7" max="16384" width="8.7109375" style="231"/>
  </cols>
  <sheetData>
    <row r="2" spans="2:6" ht="24.95" customHeight="1">
      <c r="B2" s="232" t="str">
        <f>Name_main</f>
        <v>Rehabilitation Cost Estimate Tool - Mining New South Wales</v>
      </c>
    </row>
    <row r="3" spans="2:6" ht="15" customHeight="1">
      <c r="B3" s="271" t="str">
        <f>CONCATENATE(CompanyName," - ",Mine_Name)</f>
        <v>Boral Cement - Marulan South Limestone Mine</v>
      </c>
      <c r="C3" s="259" t="s">
        <v>1</v>
      </c>
    </row>
    <row r="4" spans="2:6" ht="15" customHeight="1">
      <c r="B4" s="15"/>
    </row>
    <row r="5" spans="2:6" ht="18" customHeight="1">
      <c r="B5" s="238" t="s">
        <v>133</v>
      </c>
      <c r="C5" s="238"/>
      <c r="D5" s="238"/>
      <c r="E5" s="238"/>
      <c r="F5" s="238"/>
    </row>
    <row r="6" spans="2:6" ht="3.95" customHeight="1"/>
    <row r="7" spans="2:6" ht="39" customHeight="1">
      <c r="F7" s="278" t="s">
        <v>134</v>
      </c>
    </row>
    <row r="8" spans="2:6" ht="3" customHeight="1">
      <c r="F8" s="278"/>
    </row>
    <row r="9" spans="2:6" ht="15.95" customHeight="1">
      <c r="B9" s="279" t="s">
        <v>135</v>
      </c>
      <c r="C9" s="279" t="s">
        <v>136</v>
      </c>
      <c r="D9" s="279" t="s">
        <v>137</v>
      </c>
      <c r="E9" s="279" t="s">
        <v>138</v>
      </c>
      <c r="F9" s="279" t="s">
        <v>139</v>
      </c>
    </row>
    <row r="10" spans="2:6" ht="15.95" customHeight="1">
      <c r="B10" s="254" t="str">
        <f>'RCE Summary'!B32</f>
        <v>Infrastructure Area</v>
      </c>
      <c r="C10" s="280">
        <f>'RCE Summary'!E32</f>
        <v>5086797.4110966874</v>
      </c>
      <c r="D10" s="290">
        <v>10507614</v>
      </c>
      <c r="E10" s="281">
        <f t="shared" ref="E10:E18" si="0">C10-D10</f>
        <v>-5420816.5889033126</v>
      </c>
      <c r="F10" s="292" t="s">
        <v>140</v>
      </c>
    </row>
    <row r="11" spans="2:6" ht="15.95" customHeight="1">
      <c r="B11" s="254" t="str">
        <f>'RCE Summary'!B33</f>
        <v>Infrastructure - Mine Entries</v>
      </c>
      <c r="C11" s="280">
        <f>'RCE Summary'!E33</f>
        <v>0</v>
      </c>
      <c r="D11" s="290"/>
      <c r="E11" s="281">
        <f t="shared" si="0"/>
        <v>0</v>
      </c>
      <c r="F11" s="292"/>
    </row>
    <row r="12" spans="2:6" ht="15.95" customHeight="1">
      <c r="B12" s="254" t="str">
        <f>'RCE Summary'!B35</f>
        <v>Tailings Storage Facilities</v>
      </c>
      <c r="C12" s="280">
        <f>'RCE Summary'!E35</f>
        <v>0</v>
      </c>
      <c r="D12" s="290">
        <v>353488</v>
      </c>
      <c r="E12" s="281">
        <f t="shared" si="0"/>
        <v>-353488</v>
      </c>
      <c r="F12" s="292" t="s">
        <v>141</v>
      </c>
    </row>
    <row r="13" spans="2:6" ht="15.95" customHeight="1">
      <c r="B13" s="254" t="str">
        <f>'RCE Summary'!B36</f>
        <v>Water Management Area</v>
      </c>
      <c r="C13" s="280">
        <f>'RCE Summary'!E36</f>
        <v>143675.75957172731</v>
      </c>
      <c r="D13" s="290"/>
      <c r="E13" s="281">
        <f t="shared" si="0"/>
        <v>143675.75957172731</v>
      </c>
      <c r="F13" s="292" t="s">
        <v>142</v>
      </c>
    </row>
    <row r="14" spans="2:6" ht="15.95" customHeight="1">
      <c r="B14" s="254" t="str">
        <f>'RCE Summary'!B37</f>
        <v>Overburden Emplacement Area</v>
      </c>
      <c r="C14" s="280">
        <f>'RCE Summary'!E37</f>
        <v>3916533.76916386</v>
      </c>
      <c r="D14" s="290">
        <v>4913020</v>
      </c>
      <c r="E14" s="281">
        <f t="shared" si="0"/>
        <v>-996486.23083613999</v>
      </c>
      <c r="F14" s="292" t="s">
        <v>143</v>
      </c>
    </row>
    <row r="15" spans="2:6" ht="15.95" customHeight="1">
      <c r="B15" s="254" t="str">
        <f>'RCE Summary'!B38</f>
        <v>Active Mining Area (Open Cut Void)</v>
      </c>
      <c r="C15" s="280">
        <f>'RCE Summary'!E38</f>
        <v>4466182.5262125582</v>
      </c>
      <c r="D15" s="290">
        <v>3460260</v>
      </c>
      <c r="E15" s="281">
        <f t="shared" si="0"/>
        <v>1005922.5262125582</v>
      </c>
      <c r="F15" s="292"/>
    </row>
    <row r="16" spans="2:6" s="282" customFormat="1" ht="15.95" customHeight="1">
      <c r="B16" s="254" t="str">
        <f>'RCE Summary'!B39</f>
        <v>Underground Mining Areas</v>
      </c>
      <c r="C16" s="280">
        <f>'RCE Summary'!E39</f>
        <v>0</v>
      </c>
      <c r="D16" s="291"/>
      <c r="E16" s="281">
        <f t="shared" si="0"/>
        <v>0</v>
      </c>
      <c r="F16" s="292"/>
    </row>
    <row r="17" spans="2:6" ht="15.95" customHeight="1">
      <c r="B17" s="254" t="str">
        <f>'RCE Summary'!B34</f>
        <v>Beneficiation Facility</v>
      </c>
      <c r="C17" s="280">
        <f>'RCE Summary'!E34</f>
        <v>6391934.1973628607</v>
      </c>
      <c r="D17" s="290"/>
      <c r="E17" s="281">
        <f t="shared" si="0"/>
        <v>6391934.1973628607</v>
      </c>
      <c r="F17" s="292"/>
    </row>
    <row r="18" spans="2:6" ht="15.95" customHeight="1">
      <c r="B18" s="254" t="str">
        <f>'RCE Summary'!B40</f>
        <v>Exploration</v>
      </c>
      <c r="C18" s="280">
        <f>'RCE Summary'!E40</f>
        <v>0</v>
      </c>
      <c r="D18" s="290"/>
      <c r="E18" s="281">
        <f t="shared" si="0"/>
        <v>0</v>
      </c>
      <c r="F18" s="292"/>
    </row>
    <row r="19" spans="2:6" ht="15.95" customHeight="1" thickBot="1">
      <c r="B19" s="283" t="s">
        <v>144</v>
      </c>
      <c r="C19" s="284">
        <f>'RCE Summary'!E41</f>
        <v>20005123.663407691</v>
      </c>
      <c r="D19" s="284">
        <f>SUM(D10:D18)</f>
        <v>19234382</v>
      </c>
      <c r="E19" s="284">
        <f>SUM(E10:E18)</f>
        <v>770741.66340769362</v>
      </c>
      <c r="F19" s="293"/>
    </row>
    <row r="20" spans="2:6" ht="15.95" customHeight="1" thickTop="1">
      <c r="B20" s="279" t="s">
        <v>145</v>
      </c>
      <c r="C20" s="279" t="s">
        <v>146</v>
      </c>
      <c r="D20" s="279" t="s">
        <v>146</v>
      </c>
      <c r="E20" s="285"/>
      <c r="F20" s="293"/>
    </row>
    <row r="21" spans="2:6" ht="15.95" customHeight="1">
      <c r="B21" s="254" t="str">
        <f>Other_and_Sundry</f>
        <v>Other and Sundry</v>
      </c>
      <c r="C21" s="280">
        <f>'RCE Summary'!E43</f>
        <v>1268272.0523422633</v>
      </c>
      <c r="D21" s="290">
        <v>1382390</v>
      </c>
      <c r="E21" s="281">
        <f t="shared" ref="E21" si="1">C21-D21</f>
        <v>-114117.94765773672</v>
      </c>
      <c r="F21" s="293" t="s">
        <v>147</v>
      </c>
    </row>
    <row r="22" spans="2:6" ht="15.95" customHeight="1" thickBot="1">
      <c r="B22" s="283" t="s">
        <v>144</v>
      </c>
      <c r="C22" s="284">
        <f>'RCE Summary'!E44</f>
        <v>1268272.0523422633</v>
      </c>
      <c r="D22" s="284">
        <f>SUM(D21:D21)</f>
        <v>1382390</v>
      </c>
      <c r="E22" s="284">
        <f>SUM(E21:E21)</f>
        <v>-114117.94765773672</v>
      </c>
      <c r="F22" s="293"/>
    </row>
    <row r="23" spans="2:6" ht="15.95" customHeight="1" thickTop="1">
      <c r="B23" s="286" t="s">
        <v>148</v>
      </c>
      <c r="C23" s="287"/>
      <c r="D23" s="287"/>
      <c r="E23" s="287"/>
      <c r="F23" s="293"/>
    </row>
    <row r="24" spans="2:6" ht="15.95" customHeight="1" thickBot="1">
      <c r="B24" s="283" t="s">
        <v>149</v>
      </c>
      <c r="C24" s="284">
        <f>'RCE Summary'!E48</f>
        <v>21273395.715749953</v>
      </c>
      <c r="D24" s="284">
        <f>D19+D22</f>
        <v>20616772</v>
      </c>
      <c r="E24" s="284">
        <f>E19+E22</f>
        <v>656623.7157499569</v>
      </c>
      <c r="F24" s="293"/>
    </row>
    <row r="25" spans="2:6" ht="15.95" customHeight="1" thickTop="1">
      <c r="B25" s="254" t="str">
        <f>'RCE Summary'!B49</f>
        <v>Contingency (Mining)</v>
      </c>
      <c r="C25" s="280">
        <f>'RCE Summary'!E49</f>
        <v>6382018.7147249859</v>
      </c>
      <c r="D25" s="290">
        <f>2061677*3</f>
        <v>6185031</v>
      </c>
      <c r="E25" s="281">
        <f>C25-D25</f>
        <v>196987.71472498588</v>
      </c>
      <c r="F25" s="293"/>
    </row>
    <row r="26" spans="2:6" ht="15.95" customHeight="1">
      <c r="B26" s="254" t="str">
        <f>'RCE Summary'!B50</f>
        <v>Contingency (Exploration only)</v>
      </c>
      <c r="C26" s="280">
        <f>'RCE Summary'!E50</f>
        <v>0</v>
      </c>
      <c r="D26" s="290"/>
      <c r="E26" s="281">
        <f>C26-D26</f>
        <v>0</v>
      </c>
      <c r="F26" s="293"/>
    </row>
    <row r="27" spans="2:6" ht="15.95" customHeight="1" thickBot="1">
      <c r="B27" s="283" t="s">
        <v>144</v>
      </c>
      <c r="C27" s="284">
        <f>'RCE Summary'!E51</f>
        <v>6382018.7147249859</v>
      </c>
      <c r="D27" s="284">
        <f>D25+D26</f>
        <v>6185031</v>
      </c>
      <c r="E27" s="284">
        <f>E25+E26</f>
        <v>196987.71472498588</v>
      </c>
      <c r="F27" s="288" t="s">
        <v>150</v>
      </c>
    </row>
    <row r="28" spans="2:6" ht="15.95" customHeight="1" thickTop="1">
      <c r="B28" s="283" t="s">
        <v>151</v>
      </c>
      <c r="C28" s="20">
        <f>'RCE Summary'!E53</f>
        <v>27655414.430474937</v>
      </c>
      <c r="D28" s="20">
        <f>D24+D27</f>
        <v>26801803</v>
      </c>
      <c r="E28" s="289">
        <f>E24+E27</f>
        <v>853611.43047494278</v>
      </c>
      <c r="F28" s="293"/>
    </row>
  </sheetData>
  <sheetProtection algorithmName="SHA-512" hashValue="h6XkAmQZ+kvgtj1rpCy4GQb7n5WXSV1gOChvdaGSs09p/5+kpw+sHI83pw6hIo8V82QKd2Z631BhJSrCr/cRsA==" saltValue="EVhfL+sstTH5LuPTFOdVfw==" spinCount="100000" sheet="1" objects="1" scenarios="1" autoFilter="0"/>
  <conditionalFormatting sqref="E10:E19">
    <cfRule type="cellIs" dxfId="402" priority="3" operator="lessThan">
      <formula>0</formula>
    </cfRule>
  </conditionalFormatting>
  <conditionalFormatting sqref="E21">
    <cfRule type="cellIs" dxfId="401" priority="2" operator="lessThan">
      <formula>0</formula>
    </cfRule>
  </conditionalFormatting>
  <conditionalFormatting sqref="E25:E26">
    <cfRule type="cellIs" dxfId="400" priority="1" operator="lessThan">
      <formula>0</formula>
    </cfRule>
  </conditionalFormatting>
  <dataValidations disablePrompts="1" count="1">
    <dataValidation allowBlank="1" showInputMessage="1" showErrorMessage="1" promptTitle="Manual Enter" prompt="Please input the final values submitted for the previous year RCE." sqref="D9" xr:uid="{54E1D248-31AB-47BA-ACA6-066EAEBF02E8}"/>
  </dataValidations>
  <hyperlinks>
    <hyperlink ref="C3" location="RCE_Summary" display="RCE Summary" xr:uid="{F11CBC91-BD51-4960-9118-1AADC949AAD1}"/>
  </hyperlinks>
  <pageMargins left="0.7" right="0.7" top="0.75" bottom="0.75" header="0.3" footer="0.3"/>
  <pageSetup paperSize="9" scale="4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382B7-3079-47C4-8B7A-73C12CDD6D6B}">
  <sheetPr codeName="Sheet5">
    <tabColor theme="5" tint="-0.249977111117893"/>
    <pageSetUpPr fitToPage="1"/>
  </sheetPr>
  <dimension ref="B2:I56"/>
  <sheetViews>
    <sheetView showGridLines="0" zoomScaleNormal="100" workbookViewId="0">
      <pane ySplit="6" topLeftCell="A42" activePane="bottomLeft" state="frozen"/>
      <selection pane="bottomLeft" activeCell="E26" sqref="E26:I26"/>
    </sheetView>
  </sheetViews>
  <sheetFormatPr defaultColWidth="8.7109375" defaultRowHeight="12.75"/>
  <cols>
    <col min="1" max="1" width="3.85546875" customWidth="1"/>
    <col min="2" max="2" width="40.85546875" customWidth="1"/>
    <col min="3" max="4" width="5.5703125" customWidth="1"/>
    <col min="5" max="5" width="27.42578125" customWidth="1"/>
    <col min="6" max="6" width="10" customWidth="1"/>
    <col min="7" max="7" width="27.42578125" customWidth="1"/>
    <col min="8" max="8" width="9.140625" customWidth="1"/>
    <col min="9" max="9" width="72.140625" customWidth="1"/>
  </cols>
  <sheetData>
    <row r="2" spans="2:9" ht="24.95" customHeight="1">
      <c r="B2" s="232" t="str">
        <f>Name_main</f>
        <v>Rehabilitation Cost Estimate Tool - Mining New South Wales</v>
      </c>
      <c r="G2" s="294"/>
      <c r="H2" s="294"/>
    </row>
    <row r="3" spans="2:9" ht="15" customHeight="1">
      <c r="B3" s="271" t="str">
        <f>CONCATENATE(CompanyName," - ",Mine_Name)</f>
        <v>Boral Cement - Marulan South Limestone Mine</v>
      </c>
    </row>
    <row r="4" spans="2:9" ht="15" customHeight="1">
      <c r="B4" s="2"/>
    </row>
    <row r="5" spans="2:9" ht="18.600000000000001" customHeight="1">
      <c r="B5" s="238" t="s">
        <v>1</v>
      </c>
      <c r="C5" s="238"/>
      <c r="D5" s="238"/>
      <c r="E5" s="238"/>
      <c r="F5" s="238"/>
      <c r="G5" s="238"/>
      <c r="H5" s="238"/>
      <c r="I5" s="238"/>
    </row>
    <row r="6" spans="2:9" ht="5.45" customHeight="1">
      <c r="B6" s="2"/>
    </row>
    <row r="7" spans="2:9" ht="5.45" customHeight="1">
      <c r="B7" s="2"/>
    </row>
    <row r="8" spans="2:9" ht="18.600000000000001" customHeight="1">
      <c r="B8" s="238" t="s">
        <v>152</v>
      </c>
      <c r="C8" s="238"/>
      <c r="D8" s="238"/>
      <c r="E8" s="238"/>
      <c r="F8" s="238"/>
      <c r="G8" s="238"/>
      <c r="H8" s="238"/>
      <c r="I8" s="238"/>
    </row>
    <row r="10" spans="2:9" ht="15">
      <c r="B10" s="272" t="s">
        <v>153</v>
      </c>
    </row>
    <row r="12" spans="2:9" ht="15.95" customHeight="1" thickBot="1">
      <c r="B12" s="295" t="s">
        <v>154</v>
      </c>
      <c r="E12" s="311">
        <v>46265</v>
      </c>
      <c r="G12" s="295" t="s">
        <v>155</v>
      </c>
      <c r="H12" s="231"/>
      <c r="I12" s="312" t="s">
        <v>156</v>
      </c>
    </row>
    <row r="13" spans="2:9" ht="15.95" customHeight="1">
      <c r="B13" s="296"/>
      <c r="G13" s="296"/>
      <c r="H13" s="231"/>
      <c r="I13" s="231"/>
    </row>
    <row r="14" spans="2:9" ht="15.95" customHeight="1">
      <c r="B14" s="295" t="s">
        <v>157</v>
      </c>
      <c r="E14" s="903" t="s">
        <v>158</v>
      </c>
      <c r="F14" s="904"/>
      <c r="G14" s="904"/>
      <c r="H14" s="904"/>
      <c r="I14" s="905"/>
    </row>
    <row r="15" spans="2:9" ht="15.95" customHeight="1">
      <c r="B15" s="296"/>
      <c r="G15" s="231"/>
      <c r="H15" s="231"/>
      <c r="I15" s="231"/>
    </row>
    <row r="16" spans="2:9" ht="15.95" customHeight="1">
      <c r="B16" s="295" t="s">
        <v>159</v>
      </c>
      <c r="E16" s="903" t="s">
        <v>160</v>
      </c>
      <c r="F16" s="904"/>
      <c r="G16" s="904"/>
      <c r="H16" s="904"/>
      <c r="I16" s="905"/>
    </row>
    <row r="17" spans="2:9" ht="15.95" customHeight="1">
      <c r="B17" s="296"/>
      <c r="G17" s="231"/>
      <c r="H17" s="231"/>
      <c r="I17" s="231"/>
    </row>
    <row r="18" spans="2:9" ht="15.95" customHeight="1" thickBot="1">
      <c r="B18" s="295" t="s">
        <v>161</v>
      </c>
      <c r="E18" s="313">
        <v>55518</v>
      </c>
      <c r="G18" s="297" t="s">
        <v>162</v>
      </c>
      <c r="H18" s="298"/>
      <c r="I18" s="299"/>
    </row>
    <row r="19" spans="2:9" ht="15.95" customHeight="1">
      <c r="G19" s="231"/>
    </row>
    <row r="20" spans="2:9" ht="15.95" customHeight="1" thickBot="1">
      <c r="B20" s="295" t="s">
        <v>163</v>
      </c>
      <c r="E20" s="313">
        <v>45413</v>
      </c>
      <c r="G20" s="297" t="s">
        <v>164</v>
      </c>
      <c r="H20" s="298"/>
      <c r="I20" s="299"/>
    </row>
    <row r="21" spans="2:9" ht="15.95" customHeight="1">
      <c r="G21" s="231"/>
    </row>
    <row r="22" spans="2:9" ht="15.95" customHeight="1" thickBot="1">
      <c r="B22" s="295" t="s">
        <v>165</v>
      </c>
      <c r="C22" s="231"/>
      <c r="E22" s="314">
        <v>26814013</v>
      </c>
      <c r="G22" s="297" t="s">
        <v>166</v>
      </c>
      <c r="H22" s="298"/>
      <c r="I22" s="299"/>
    </row>
    <row r="23" spans="2:9" ht="15.95" customHeight="1"/>
    <row r="24" spans="2:9" ht="15.95" customHeight="1" thickBot="1">
      <c r="B24" s="295" t="s">
        <v>167</v>
      </c>
      <c r="C24" s="231"/>
      <c r="E24" s="314">
        <v>26814013</v>
      </c>
      <c r="G24" s="297" t="s">
        <v>168</v>
      </c>
      <c r="H24" s="298"/>
      <c r="I24" s="299"/>
    </row>
    <row r="25" spans="2:9" ht="15.95" customHeight="1"/>
    <row r="26" spans="2:9" ht="72.95" customHeight="1">
      <c r="B26" s="295" t="s">
        <v>169</v>
      </c>
      <c r="E26" s="903" t="s">
        <v>170</v>
      </c>
      <c r="F26" s="904"/>
      <c r="G26" s="904"/>
      <c r="H26" s="904"/>
      <c r="I26" s="905"/>
    </row>
    <row r="28" spans="2:9" ht="15">
      <c r="B28" s="300"/>
    </row>
    <row r="29" spans="2:9" ht="15" customHeight="1">
      <c r="B29" s="238" t="s">
        <v>171</v>
      </c>
      <c r="C29" s="238"/>
      <c r="D29" s="238"/>
      <c r="E29" s="238"/>
      <c r="F29" s="301"/>
      <c r="G29" s="301"/>
      <c r="H29" s="301"/>
      <c r="I29" s="301"/>
    </row>
    <row r="30" spans="2:9" ht="15" customHeight="1"/>
    <row r="31" spans="2:9" ht="15" customHeight="1">
      <c r="B31" s="238" t="s">
        <v>135</v>
      </c>
      <c r="E31" s="238" t="s">
        <v>146</v>
      </c>
      <c r="F31" s="238" t="s">
        <v>172</v>
      </c>
      <c r="G31" s="238"/>
      <c r="H31" s="238"/>
      <c r="I31" s="238"/>
    </row>
    <row r="32" spans="2:9" ht="15.95" customHeight="1">
      <c r="B32" s="315" t="str">
        <f>Infrastructure_Area</f>
        <v>Infrastructure Area</v>
      </c>
      <c r="E32" s="280">
        <f>'Infrastructure Area'!D5</f>
        <v>5086797.4110966874</v>
      </c>
      <c r="F32" s="906"/>
      <c r="G32" s="907"/>
      <c r="H32" s="907"/>
      <c r="I32" s="908"/>
    </row>
    <row r="33" spans="2:9" ht="15.95" customHeight="1">
      <c r="B33" s="315" t="str">
        <f>Infrastructure_Mine_Entries</f>
        <v>Infrastructure - Mine Entries</v>
      </c>
      <c r="E33" s="280">
        <f>'Infrastructure - Mine Entries'!C5</f>
        <v>0</v>
      </c>
      <c r="F33" s="906"/>
      <c r="G33" s="907"/>
      <c r="H33" s="907"/>
      <c r="I33" s="908"/>
    </row>
    <row r="34" spans="2:9" ht="15.95" customHeight="1">
      <c r="B34" s="315" t="str">
        <f>Beneficiation_Facility</f>
        <v>Beneficiation Facility</v>
      </c>
      <c r="E34" s="280">
        <f>'Beneficiation Facility'!D5</f>
        <v>6391934.1973628607</v>
      </c>
      <c r="F34" s="906"/>
      <c r="G34" s="907"/>
      <c r="H34" s="907"/>
      <c r="I34" s="908"/>
    </row>
    <row r="35" spans="2:9" ht="15.95" customHeight="1">
      <c r="B35" s="315" t="str">
        <f>Tailings_Storage_Facilities</f>
        <v>Tailings Storage Facilities</v>
      </c>
      <c r="E35" s="280">
        <f>'Tailings Storage Facilities'!D5</f>
        <v>0</v>
      </c>
      <c r="F35" s="906"/>
      <c r="G35" s="907"/>
      <c r="H35" s="907"/>
      <c r="I35" s="908"/>
    </row>
    <row r="36" spans="2:9" ht="15.95" customHeight="1">
      <c r="B36" s="315" t="s">
        <v>89</v>
      </c>
      <c r="E36" s="280">
        <f>'Water Management Areas'!D5</f>
        <v>143675.75957172731</v>
      </c>
      <c r="F36" s="906"/>
      <c r="G36" s="907"/>
      <c r="H36" s="907"/>
      <c r="I36" s="908"/>
    </row>
    <row r="37" spans="2:9" ht="15.95" customHeight="1">
      <c r="B37" s="315" t="str">
        <f>Overburden_Emplacement_Area</f>
        <v>Overburden Emplacement Area</v>
      </c>
      <c r="E37" s="280">
        <f>'Overburden Emplacement Area'!D5</f>
        <v>3916533.76916386</v>
      </c>
      <c r="F37" s="906"/>
      <c r="G37" s="907"/>
      <c r="H37" s="907"/>
      <c r="I37" s="908"/>
    </row>
    <row r="38" spans="2:9" ht="15.95" customHeight="1">
      <c r="B38" s="315" t="str">
        <f>Active_Mining_Area__Open_Cut_Void</f>
        <v>Active Mining Area (Open Cut Void)</v>
      </c>
      <c r="E38" s="280">
        <f>'Active Mining Area'!C6</f>
        <v>4466182.5262125582</v>
      </c>
      <c r="F38" s="906"/>
      <c r="G38" s="907"/>
      <c r="H38" s="907"/>
      <c r="I38" s="908"/>
    </row>
    <row r="39" spans="2:9" s="302" customFormat="1" ht="15.95" customHeight="1">
      <c r="B39" s="315" t="str">
        <f>'Underground Mining Area'!B6</f>
        <v>Underground Mining Areas</v>
      </c>
      <c r="E39" s="280">
        <f>'Underground Mining Area'!C6</f>
        <v>0</v>
      </c>
      <c r="F39" s="906"/>
      <c r="G39" s="907"/>
      <c r="H39" s="907"/>
      <c r="I39" s="908"/>
    </row>
    <row r="40" spans="2:9" ht="15.95" customHeight="1">
      <c r="B40" s="315" t="str">
        <f>Exploration!C5</f>
        <v>Exploration</v>
      </c>
      <c r="E40" s="280">
        <f>Exploration!D5</f>
        <v>0</v>
      </c>
      <c r="F40" s="906"/>
      <c r="G40" s="907"/>
      <c r="H40" s="907"/>
      <c r="I40" s="908"/>
    </row>
    <row r="41" spans="2:9" ht="15.95" customHeight="1" thickBot="1">
      <c r="B41" s="283" t="s">
        <v>144</v>
      </c>
      <c r="E41" s="284">
        <f>SUM(E32:E40)</f>
        <v>20005123.663407691</v>
      </c>
      <c r="F41" s="906"/>
      <c r="G41" s="907"/>
      <c r="H41" s="907"/>
      <c r="I41" s="908"/>
    </row>
    <row r="42" spans="2:9" ht="15.95" customHeight="1" thickTop="1">
      <c r="B42" s="238" t="s">
        <v>173</v>
      </c>
      <c r="E42" s="238" t="s">
        <v>146</v>
      </c>
      <c r="F42" s="906"/>
      <c r="G42" s="907"/>
      <c r="H42" s="907"/>
      <c r="I42" s="908"/>
    </row>
    <row r="43" spans="2:9" ht="15.95" customHeight="1">
      <c r="B43" s="315" t="str">
        <f>Other_and_Sundry</f>
        <v>Other and Sundry</v>
      </c>
      <c r="E43" s="280">
        <f>'Other and Sundry'!G5</f>
        <v>1268272.0523422633</v>
      </c>
      <c r="F43" s="906"/>
      <c r="G43" s="907"/>
      <c r="H43" s="907"/>
      <c r="I43" s="908"/>
    </row>
    <row r="44" spans="2:9" ht="15.95" customHeight="1" thickBot="1">
      <c r="B44" s="283" t="s">
        <v>144</v>
      </c>
      <c r="E44" s="284">
        <f>SUM(E43:E43)</f>
        <v>1268272.0523422633</v>
      </c>
      <c r="F44" s="906"/>
      <c r="G44" s="907"/>
      <c r="H44" s="907"/>
      <c r="I44" s="908"/>
    </row>
    <row r="45" spans="2:9" ht="15.95" customHeight="1" thickTop="1">
      <c r="B45" s="303" t="s">
        <v>148</v>
      </c>
      <c r="E45" s="304"/>
      <c r="F45" s="906"/>
      <c r="G45" s="907"/>
      <c r="H45" s="907"/>
      <c r="I45" s="908"/>
    </row>
    <row r="46" spans="2:9" ht="15.95" customHeight="1">
      <c r="B46" s="305" t="s">
        <v>174</v>
      </c>
      <c r="E46" s="20">
        <f>E41+E44-E40</f>
        <v>21273395.715749953</v>
      </c>
      <c r="F46" s="906"/>
      <c r="G46" s="907"/>
      <c r="H46" s="907"/>
      <c r="I46" s="908"/>
    </row>
    <row r="47" spans="2:9" ht="15.95" customHeight="1">
      <c r="B47" s="305" t="s">
        <v>175</v>
      </c>
      <c r="E47" s="20">
        <f>E40</f>
        <v>0</v>
      </c>
      <c r="F47" s="906"/>
      <c r="G47" s="907"/>
      <c r="H47" s="907"/>
      <c r="I47" s="908"/>
    </row>
    <row r="48" spans="2:9" ht="15.95" customHeight="1" thickBot="1">
      <c r="B48" s="306" t="s">
        <v>176</v>
      </c>
      <c r="D48" s="307" t="s">
        <v>177</v>
      </c>
      <c r="E48" s="284">
        <f>E46+E47</f>
        <v>21273395.715749953</v>
      </c>
      <c r="F48" s="906"/>
      <c r="G48" s="907"/>
      <c r="H48" s="907"/>
      <c r="I48" s="908"/>
    </row>
    <row r="49" spans="2:9" ht="15.95" customHeight="1" thickTop="1">
      <c r="B49" s="305" t="s">
        <v>178</v>
      </c>
      <c r="C49" s="308">
        <v>0.3</v>
      </c>
      <c r="D49" s="316"/>
      <c r="E49" s="20">
        <f>E46*IF(AND(D49&lt;&gt;"",D49&gt;C49),D49,C49)</f>
        <v>6382018.7147249859</v>
      </c>
      <c r="F49" s="912" t="s">
        <v>179</v>
      </c>
      <c r="G49" s="913"/>
      <c r="H49" s="913"/>
      <c r="I49" s="914"/>
    </row>
    <row r="50" spans="2:9" ht="15.95" customHeight="1">
      <c r="B50" s="305" t="s">
        <v>180</v>
      </c>
      <c r="C50" s="308">
        <v>0.15</v>
      </c>
      <c r="D50" s="316"/>
      <c r="E50" s="20">
        <f>E47*IF(AND(D50&lt;&gt;"",D50&gt;C50),D50,C50)</f>
        <v>0</v>
      </c>
      <c r="F50" s="912" t="s">
        <v>179</v>
      </c>
      <c r="G50" s="913"/>
      <c r="H50" s="913"/>
      <c r="I50" s="914"/>
    </row>
    <row r="51" spans="2:9" ht="15.95" customHeight="1" thickBot="1">
      <c r="B51" s="306" t="s">
        <v>181</v>
      </c>
      <c r="E51" s="4">
        <f>E49+E50</f>
        <v>6382018.7147249859</v>
      </c>
      <c r="F51" s="906"/>
      <c r="G51" s="907"/>
      <c r="H51" s="907"/>
      <c r="I51" s="908"/>
    </row>
    <row r="52" spans="2:9" ht="15.95" customHeight="1" thickTop="1" thickBot="1">
      <c r="B52" s="231"/>
      <c r="F52" s="231"/>
      <c r="G52" s="231"/>
      <c r="H52" s="231"/>
      <c r="I52" s="231"/>
    </row>
    <row r="53" spans="2:9" ht="15.95" customHeight="1" thickTop="1" thickBot="1">
      <c r="B53" s="283" t="s">
        <v>151</v>
      </c>
      <c r="E53" s="309">
        <f>E48+E51</f>
        <v>27655414.430474937</v>
      </c>
      <c r="F53" s="909"/>
      <c r="G53" s="910"/>
      <c r="H53" s="910"/>
      <c r="I53" s="911"/>
    </row>
    <row r="55" spans="2:9" ht="15">
      <c r="B55" s="310" t="str">
        <f>IF(OR(D49="",D49&gt;=C49),"Contingency for mining activities ok",CONCATENATE("Contingency for mining activities cannot be less than default. Delete the value or enter a value higher than ",C49*100,"%."))</f>
        <v>Contingency for mining activities ok</v>
      </c>
    </row>
    <row r="56" spans="2:9" ht="15">
      <c r="B56" s="310" t="str">
        <f>IF(OR(D50="",D50&gt;=C50),"Contingency for exploration activities ok",CONCATENATE("Contingency for exploration activities cannot be less than default. Delete the value or enter a value higher than ",C50*100,"%."))</f>
        <v>Contingency for exploration activities ok</v>
      </c>
    </row>
  </sheetData>
  <sheetProtection algorithmName="SHA-512" hashValue="r0Ie6HcIUL4GRM0KiZsXDbDFugfC2RbCUhSTIhS8HLGxT70WWJ2M6+hP7DwDyzQywrgPWYN6NEdafMmyplRYuA==" saltValue="Llkl40I1OE06f2Zyrcy8Aw==" spinCount="100000" sheet="1" objects="1" scenarios="1" autoFilter="0"/>
  <mergeCells count="24">
    <mergeCell ref="F51:I51"/>
    <mergeCell ref="F53:I53"/>
    <mergeCell ref="F45:I45"/>
    <mergeCell ref="F46:I46"/>
    <mergeCell ref="F47:I47"/>
    <mergeCell ref="F48:I48"/>
    <mergeCell ref="F49:I49"/>
    <mergeCell ref="F50:I50"/>
    <mergeCell ref="E26:I26"/>
    <mergeCell ref="E14:I14"/>
    <mergeCell ref="E16:I16"/>
    <mergeCell ref="F43:I43"/>
    <mergeCell ref="F44:I44"/>
    <mergeCell ref="F32:I32"/>
    <mergeCell ref="F33:I33"/>
    <mergeCell ref="F34:I34"/>
    <mergeCell ref="F42:I42"/>
    <mergeCell ref="F35:I35"/>
    <mergeCell ref="F36:I36"/>
    <mergeCell ref="F37:I37"/>
    <mergeCell ref="F38:I38"/>
    <mergeCell ref="F39:I39"/>
    <mergeCell ref="F40:I40"/>
    <mergeCell ref="F41:I41"/>
  </mergeCells>
  <conditionalFormatting sqref="B55:B56">
    <cfRule type="containsText" dxfId="399" priority="1" operator="containsText" text="ok">
      <formula>NOT(ISERROR(SEARCH("ok",B55)))</formula>
    </cfRule>
    <cfRule type="containsText" dxfId="398" priority="3" operator="containsText" text="less than default">
      <formula>NOT(ISERROR(SEARCH("less than default",B55)))</formula>
    </cfRule>
  </conditionalFormatting>
  <hyperlinks>
    <hyperlink ref="B32" location="Infrastructure_Area" display="Infrastructure_Area" xr:uid="{49D85A48-5A04-4A71-ACBB-FB5071D895CF}"/>
    <hyperlink ref="B35" location="Tailings_Storage_Facilities" display="Tailings_Storage_Facilities" xr:uid="{BD907B7B-C7B9-45C0-A503-D430D418F2BB}"/>
    <hyperlink ref="B36" location="Water_Management_Area" display="Water Management Area" xr:uid="{79F90F14-75A5-4076-A0FE-85C17DAE4B93}"/>
    <hyperlink ref="B37" location="Overburden_Emplacement_Area" display="Overburden_Emplacement_Area" xr:uid="{B6154497-4163-4D23-B75C-705BF90D8849}"/>
    <hyperlink ref="B38" location="Active_Mining_Area__Open_Cut_Void" display="Active_Mining_Area__Open_Cut_Void" xr:uid="{537E859B-A8C7-4B68-84F2-B6EE28EF08DA}"/>
    <hyperlink ref="B39" location="Underground_Mining_Areas" display="Underground_Mining_Areas" xr:uid="{60243EA5-D564-43BA-8C9D-8433F619F020}"/>
    <hyperlink ref="B34" location="Beneficiation_Facility" display="Beneficiation_Facility" xr:uid="{8A35F8FE-416B-438E-A586-06231F713969}"/>
    <hyperlink ref="B40" location="Exploration" display="Exploration" xr:uid="{3549E1AA-CAF1-48EA-8544-E88A321201DA}"/>
    <hyperlink ref="B43" location="Other_and_Sundry" display="Other_and_Sundry" xr:uid="{39D3980B-64FA-48C9-A6D7-EE2ABEFAD6F9}"/>
    <hyperlink ref="B33" location="Infrastructure_Mine_Entries" display="Infrastructure_Mine_Entries" xr:uid="{7A967DAA-68C1-4C98-8725-579B3E670BDE}"/>
  </hyperlink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16DFB-BF05-448F-8242-D0C491A81166}">
  <sheetPr codeName="Sheet7">
    <tabColor theme="9" tint="-0.249977111117893"/>
  </sheetPr>
  <dimension ref="B2:O215"/>
  <sheetViews>
    <sheetView showGridLines="0" zoomScaleNormal="100" workbookViewId="0">
      <pane xSplit="5" ySplit="7" topLeftCell="F8" activePane="bottomRight" state="frozen"/>
      <selection pane="topRight" activeCell="H1" sqref="H1"/>
      <selection pane="bottomLeft" activeCell="A8" sqref="A8"/>
      <selection pane="bottomRight" activeCell="F22" sqref="F22"/>
    </sheetView>
  </sheetViews>
  <sheetFormatPr defaultColWidth="8.7109375" defaultRowHeight="11.25"/>
  <cols>
    <col min="1" max="1" width="5.140625" style="28" customWidth="1"/>
    <col min="2" max="2" width="26" style="28" customWidth="1"/>
    <col min="3" max="3" width="32.5703125" style="28" customWidth="1"/>
    <col min="4" max="4" width="31.42578125" style="28" customWidth="1"/>
    <col min="5" max="5" width="10" style="28" customWidth="1"/>
    <col min="6" max="13" width="13.28515625" style="3" customWidth="1"/>
    <col min="14" max="14" width="51.5703125" style="28" customWidth="1"/>
    <col min="15" max="15" width="130.42578125" style="125" customWidth="1"/>
    <col min="16" max="16" width="8.7109375" style="28"/>
    <col min="17" max="17" width="34.5703125" style="28" customWidth="1"/>
    <col min="18" max="18" width="36.7109375" style="28" customWidth="1"/>
    <col min="19" max="16384" width="8.7109375" style="28"/>
  </cols>
  <sheetData>
    <row r="2" spans="2:15" ht="24.95" customHeight="1">
      <c r="B2" s="317" t="str">
        <f>Name_main</f>
        <v>Rehabilitation Cost Estimate Tool - Mining New South Wales</v>
      </c>
      <c r="F2" s="28"/>
      <c r="G2" s="28"/>
      <c r="H2" s="28"/>
      <c r="I2" s="28"/>
      <c r="J2" s="28"/>
      <c r="K2" s="28"/>
      <c r="L2" s="28"/>
      <c r="M2" s="28"/>
    </row>
    <row r="3" spans="2:15" ht="15.95" customHeight="1">
      <c r="B3" s="318" t="str">
        <f>CONCATENATE(CompanyName," - ",Mine_Name)</f>
        <v>Boral Cement - Marulan South Limestone Mine</v>
      </c>
      <c r="F3" s="28"/>
      <c r="G3" s="28"/>
      <c r="H3" s="28"/>
      <c r="I3" s="28"/>
      <c r="J3" s="28"/>
      <c r="K3" s="28"/>
      <c r="L3" s="28"/>
      <c r="M3" s="28"/>
    </row>
    <row r="4" spans="2:15" ht="15.95" customHeight="1" thickBot="1">
      <c r="B4" s="319" t="s">
        <v>182</v>
      </c>
      <c r="C4" s="320">
        <f>Grand_total</f>
        <v>27655414.430474937</v>
      </c>
      <c r="F4" s="28"/>
      <c r="G4" s="28"/>
      <c r="H4" s="28"/>
      <c r="I4" s="28"/>
      <c r="J4" s="28"/>
      <c r="K4" s="28"/>
      <c r="L4" s="28"/>
      <c r="M4" s="28"/>
    </row>
    <row r="5" spans="2:15" ht="15.95" customHeight="1" thickTop="1" thickBot="1">
      <c r="B5" s="321" t="s">
        <v>183</v>
      </c>
      <c r="C5" s="322">
        <f>SUM(F5:M5)</f>
        <v>0</v>
      </c>
      <c r="D5" s="393" t="s">
        <v>1</v>
      </c>
      <c r="E5" s="323" t="s">
        <v>184</v>
      </c>
      <c r="F5" s="324">
        <f>F58+F104+F123+F133+F147+F166+F176+F209+F215</f>
        <v>0</v>
      </c>
      <c r="G5" s="324">
        <f t="shared" ref="G5:M5" si="0">G58+G104+G123+G133+G147+G166+G176+G209+G215</f>
        <v>0</v>
      </c>
      <c r="H5" s="324">
        <f t="shared" si="0"/>
        <v>0</v>
      </c>
      <c r="I5" s="324">
        <f t="shared" si="0"/>
        <v>0</v>
      </c>
      <c r="J5" s="324">
        <f t="shared" si="0"/>
        <v>0</v>
      </c>
      <c r="K5" s="324">
        <f t="shared" si="0"/>
        <v>0</v>
      </c>
      <c r="L5" s="324">
        <f t="shared" si="0"/>
        <v>0</v>
      </c>
      <c r="M5" s="324">
        <f t="shared" si="0"/>
        <v>0</v>
      </c>
    </row>
    <row r="6" spans="2:15" ht="15.95" customHeight="1" thickTop="1">
      <c r="B6" s="317"/>
      <c r="C6" s="317"/>
      <c r="D6" s="317"/>
      <c r="E6" s="317"/>
      <c r="F6" s="317"/>
      <c r="G6" s="317"/>
      <c r="H6" s="317"/>
      <c r="I6" s="317"/>
      <c r="J6" s="317"/>
      <c r="K6" s="317"/>
      <c r="L6" s="317"/>
      <c r="M6" s="317"/>
    </row>
    <row r="7" spans="2:15" ht="12" thickBot="1">
      <c r="B7" s="325" t="s">
        <v>185</v>
      </c>
      <c r="C7" s="326" t="s">
        <v>186</v>
      </c>
      <c r="D7" s="326" t="s">
        <v>187</v>
      </c>
      <c r="E7" s="321" t="s">
        <v>188</v>
      </c>
      <c r="F7" s="396" t="s">
        <v>189</v>
      </c>
      <c r="G7" s="396" t="s">
        <v>189</v>
      </c>
      <c r="H7" s="396" t="s">
        <v>189</v>
      </c>
      <c r="I7" s="396" t="s">
        <v>189</v>
      </c>
      <c r="J7" s="396" t="s">
        <v>189</v>
      </c>
      <c r="K7" s="396" t="s">
        <v>189</v>
      </c>
      <c r="L7" s="396" t="s">
        <v>189</v>
      </c>
      <c r="M7" s="396" t="s">
        <v>189</v>
      </c>
      <c r="N7" s="327" t="s">
        <v>190</v>
      </c>
      <c r="O7" s="328" t="s">
        <v>191</v>
      </c>
    </row>
    <row r="8" spans="2:15">
      <c r="B8" s="394" t="s">
        <v>124</v>
      </c>
      <c r="C8" s="395"/>
      <c r="D8" s="395"/>
      <c r="F8" s="397"/>
      <c r="G8" s="397"/>
      <c r="H8" s="397"/>
      <c r="I8" s="397"/>
      <c r="J8" s="397"/>
      <c r="K8" s="397"/>
      <c r="L8" s="397"/>
      <c r="M8" s="397"/>
      <c r="N8" s="397"/>
      <c r="O8" s="329"/>
    </row>
    <row r="9" spans="2:15" ht="22.5">
      <c r="B9" s="330" t="s">
        <v>192</v>
      </c>
      <c r="C9" s="331" t="s">
        <v>193</v>
      </c>
      <c r="D9" s="332" t="s">
        <v>194</v>
      </c>
      <c r="F9" s="398"/>
      <c r="G9" s="398"/>
      <c r="H9" s="398"/>
      <c r="I9" s="398"/>
      <c r="J9" s="398"/>
      <c r="K9" s="398"/>
      <c r="L9" s="398"/>
      <c r="M9" s="398"/>
      <c r="N9" s="401"/>
      <c r="O9" s="333" t="s">
        <v>195</v>
      </c>
    </row>
    <row r="10" spans="2:15" ht="22.5">
      <c r="B10" s="334" t="s">
        <v>196</v>
      </c>
      <c r="C10" s="335" t="s">
        <v>197</v>
      </c>
      <c r="D10" s="336" t="s">
        <v>198</v>
      </c>
      <c r="E10" s="28" t="s">
        <v>199</v>
      </c>
      <c r="F10" s="399"/>
      <c r="G10" s="399"/>
      <c r="H10" s="399"/>
      <c r="I10" s="399"/>
      <c r="J10" s="399"/>
      <c r="K10" s="399"/>
      <c r="L10" s="399"/>
      <c r="M10" s="399"/>
      <c r="N10" s="397"/>
      <c r="O10" s="337"/>
    </row>
    <row r="11" spans="2:15">
      <c r="B11" s="338" t="s">
        <v>200</v>
      </c>
      <c r="C11" s="339" t="s">
        <v>201</v>
      </c>
      <c r="D11" s="336" t="s">
        <v>202</v>
      </c>
      <c r="E11" s="28" t="s">
        <v>203</v>
      </c>
      <c r="F11" s="400"/>
      <c r="G11" s="400"/>
      <c r="H11" s="400"/>
      <c r="I11" s="400"/>
      <c r="J11" s="400"/>
      <c r="K11" s="400"/>
      <c r="L11" s="400"/>
      <c r="M11" s="400"/>
      <c r="N11" s="397"/>
      <c r="O11" s="337"/>
    </row>
    <row r="12" spans="2:15">
      <c r="B12" s="340"/>
      <c r="C12" s="341"/>
      <c r="D12" s="336" t="s">
        <v>204</v>
      </c>
      <c r="E12" s="28" t="s">
        <v>205</v>
      </c>
      <c r="F12" s="342">
        <f>'Cost Schedule'!$D$104</f>
        <v>28135.016470396458</v>
      </c>
      <c r="G12" s="342">
        <f>'Cost Schedule'!$D$104</f>
        <v>28135.016470396458</v>
      </c>
      <c r="H12" s="342">
        <f>'Cost Schedule'!$D$104</f>
        <v>28135.016470396458</v>
      </c>
      <c r="I12" s="342">
        <f>'Cost Schedule'!$D$104</f>
        <v>28135.016470396458</v>
      </c>
      <c r="J12" s="342">
        <f>'Cost Schedule'!$D$104</f>
        <v>28135.016470396458</v>
      </c>
      <c r="K12" s="342">
        <f>'Cost Schedule'!$D$104</f>
        <v>28135.016470396458</v>
      </c>
      <c r="L12" s="342">
        <f>'Cost Schedule'!$D$104</f>
        <v>28135.016470396458</v>
      </c>
      <c r="M12" s="342">
        <f>'Cost Schedule'!$D$104</f>
        <v>28135.016470396458</v>
      </c>
      <c r="N12" s="397"/>
      <c r="O12" s="333"/>
    </row>
    <row r="13" spans="2:15">
      <c r="B13" s="340"/>
      <c r="C13" s="341"/>
      <c r="D13" s="336" t="s">
        <v>206</v>
      </c>
      <c r="E13" s="28" t="s">
        <v>205</v>
      </c>
      <c r="F13" s="414"/>
      <c r="G13" s="414"/>
      <c r="H13" s="414"/>
      <c r="I13" s="414"/>
      <c r="J13" s="414"/>
      <c r="K13" s="414"/>
      <c r="L13" s="414"/>
      <c r="M13" s="414"/>
      <c r="N13" s="397"/>
      <c r="O13" s="337"/>
    </row>
    <row r="14" spans="2:15">
      <c r="B14" s="343"/>
      <c r="C14" s="331"/>
      <c r="D14" s="336" t="s">
        <v>146</v>
      </c>
      <c r="E14" s="28" t="s">
        <v>207</v>
      </c>
      <c r="F14" s="344">
        <f>F11*IF(F13="",F12,F13)</f>
        <v>0</v>
      </c>
      <c r="G14" s="344">
        <f>G11*IF(G13="",G12,G13)</f>
        <v>0</v>
      </c>
      <c r="H14" s="344">
        <f>H11*IF(H13="",H12,H13)</f>
        <v>0</v>
      </c>
      <c r="I14" s="344">
        <f t="shared" ref="I14:L14" si="1">I11*IF(I13="",I12,I13)</f>
        <v>0</v>
      </c>
      <c r="J14" s="344">
        <f t="shared" si="1"/>
        <v>0</v>
      </c>
      <c r="K14" s="344">
        <f t="shared" si="1"/>
        <v>0</v>
      </c>
      <c r="L14" s="344">
        <f t="shared" si="1"/>
        <v>0</v>
      </c>
      <c r="M14" s="344">
        <f>M11*IF(M13="",M12,M13)</f>
        <v>0</v>
      </c>
      <c r="N14" s="397"/>
      <c r="O14" s="337"/>
    </row>
    <row r="15" spans="2:15">
      <c r="B15" s="338" t="s">
        <v>208</v>
      </c>
      <c r="C15" s="339" t="s">
        <v>209</v>
      </c>
      <c r="D15" s="336" t="s">
        <v>210</v>
      </c>
      <c r="E15" s="28" t="s">
        <v>211</v>
      </c>
      <c r="F15" s="402"/>
      <c r="G15" s="402"/>
      <c r="H15" s="402"/>
      <c r="I15" s="402"/>
      <c r="J15" s="402"/>
      <c r="K15" s="402"/>
      <c r="L15" s="402"/>
      <c r="M15" s="402"/>
      <c r="N15" s="397"/>
      <c r="O15" s="337" t="s">
        <v>212</v>
      </c>
    </row>
    <row r="16" spans="2:15">
      <c r="B16" s="340"/>
      <c r="C16" s="341"/>
      <c r="D16" s="336" t="s">
        <v>213</v>
      </c>
      <c r="E16" s="28" t="s">
        <v>211</v>
      </c>
      <c r="F16" s="402"/>
      <c r="G16" s="402"/>
      <c r="H16" s="402"/>
      <c r="I16" s="402"/>
      <c r="J16" s="402"/>
      <c r="K16" s="402"/>
      <c r="L16" s="402"/>
      <c r="M16" s="402"/>
      <c r="N16" s="397"/>
      <c r="O16" s="337"/>
    </row>
    <row r="17" spans="2:15">
      <c r="B17" s="340"/>
      <c r="C17" s="341"/>
      <c r="D17" s="336" t="s">
        <v>214</v>
      </c>
      <c r="E17" s="28" t="s">
        <v>215</v>
      </c>
      <c r="F17" s="345">
        <f>PI()*F16^2/4</f>
        <v>0</v>
      </c>
      <c r="G17" s="345">
        <f>PI()*G16^2/4</f>
        <v>0</v>
      </c>
      <c r="H17" s="345">
        <f>PI()*H16^2/4</f>
        <v>0</v>
      </c>
      <c r="I17" s="345">
        <f t="shared" ref="I17:L17" si="2">PI()*I16^2/4</f>
        <v>0</v>
      </c>
      <c r="J17" s="345">
        <f t="shared" si="2"/>
        <v>0</v>
      </c>
      <c r="K17" s="345">
        <f t="shared" si="2"/>
        <v>0</v>
      </c>
      <c r="L17" s="345">
        <f t="shared" si="2"/>
        <v>0</v>
      </c>
      <c r="M17" s="345">
        <f>PI()*M16^2/4</f>
        <v>0</v>
      </c>
      <c r="N17" s="397"/>
      <c r="O17" s="337"/>
    </row>
    <row r="18" spans="2:15">
      <c r="B18" s="340"/>
      <c r="C18" s="341"/>
      <c r="D18" s="336" t="s">
        <v>216</v>
      </c>
      <c r="E18" s="28" t="s">
        <v>217</v>
      </c>
      <c r="F18" s="345">
        <f>'Assumptions - General'!$C$99</f>
        <v>1.25</v>
      </c>
      <c r="G18" s="345">
        <f>'Assumptions - General'!$C$99</f>
        <v>1.25</v>
      </c>
      <c r="H18" s="345">
        <f>'Assumptions - General'!$C$99</f>
        <v>1.25</v>
      </c>
      <c r="I18" s="345">
        <f>'Assumptions - General'!$C$99</f>
        <v>1.25</v>
      </c>
      <c r="J18" s="345">
        <f>'Assumptions - General'!$C$99</f>
        <v>1.25</v>
      </c>
      <c r="K18" s="345">
        <f>'Assumptions - General'!$C$99</f>
        <v>1.25</v>
      </c>
      <c r="L18" s="345">
        <f>'Assumptions - General'!$C$99</f>
        <v>1.25</v>
      </c>
      <c r="M18" s="345">
        <f>'Assumptions - General'!$C$99</f>
        <v>1.25</v>
      </c>
      <c r="N18" s="397"/>
      <c r="O18" s="337"/>
    </row>
    <row r="19" spans="2:15">
      <c r="B19" s="340"/>
      <c r="C19" s="341"/>
      <c r="D19" s="336" t="s">
        <v>218</v>
      </c>
      <c r="E19" s="28" t="s">
        <v>219</v>
      </c>
      <c r="F19" s="345">
        <f>F15*F17*F18</f>
        <v>0</v>
      </c>
      <c r="G19" s="345">
        <f>G15*G17*G18</f>
        <v>0</v>
      </c>
      <c r="H19" s="345">
        <f>H15*H17*H18</f>
        <v>0</v>
      </c>
      <c r="I19" s="345">
        <f t="shared" ref="I19:L19" si="3">I15*I17*I18</f>
        <v>0</v>
      </c>
      <c r="J19" s="345">
        <f t="shared" si="3"/>
        <v>0</v>
      </c>
      <c r="K19" s="345">
        <f t="shared" si="3"/>
        <v>0</v>
      </c>
      <c r="L19" s="345">
        <f t="shared" si="3"/>
        <v>0</v>
      </c>
      <c r="M19" s="345">
        <f>M15*M17*M18</f>
        <v>0</v>
      </c>
      <c r="N19" s="397"/>
      <c r="O19" s="337"/>
    </row>
    <row r="20" spans="2:15">
      <c r="B20" s="340"/>
      <c r="C20" s="341"/>
      <c r="D20" s="336" t="s">
        <v>220</v>
      </c>
      <c r="E20" s="28" t="s">
        <v>221</v>
      </c>
      <c r="F20" s="345">
        <f t="shared" ref="F20:M20" si="4">F19*Soil_density_sand</f>
        <v>0</v>
      </c>
      <c r="G20" s="345">
        <f t="shared" si="4"/>
        <v>0</v>
      </c>
      <c r="H20" s="345">
        <f t="shared" si="4"/>
        <v>0</v>
      </c>
      <c r="I20" s="345">
        <f t="shared" si="4"/>
        <v>0</v>
      </c>
      <c r="J20" s="345">
        <f t="shared" si="4"/>
        <v>0</v>
      </c>
      <c r="K20" s="345">
        <f t="shared" si="4"/>
        <v>0</v>
      </c>
      <c r="L20" s="345">
        <f t="shared" si="4"/>
        <v>0</v>
      </c>
      <c r="M20" s="345">
        <f t="shared" si="4"/>
        <v>0</v>
      </c>
      <c r="N20" s="397"/>
      <c r="O20" s="337"/>
    </row>
    <row r="21" spans="2:15">
      <c r="B21" s="340"/>
      <c r="C21" s="341"/>
      <c r="D21" s="336" t="s">
        <v>222</v>
      </c>
      <c r="E21" s="28" t="s">
        <v>223</v>
      </c>
      <c r="F21" s="403"/>
      <c r="G21" s="403"/>
      <c r="H21" s="403"/>
      <c r="I21" s="403"/>
      <c r="J21" s="403"/>
      <c r="K21" s="403"/>
      <c r="L21" s="403"/>
      <c r="M21" s="403"/>
      <c r="N21" s="397"/>
      <c r="O21" s="337"/>
    </row>
    <row r="22" spans="2:15">
      <c r="B22" s="340"/>
      <c r="C22" s="341"/>
      <c r="D22" s="336" t="s">
        <v>224</v>
      </c>
      <c r="E22" s="28" t="s">
        <v>219</v>
      </c>
      <c r="F22" s="345">
        <f>F21*F19</f>
        <v>0</v>
      </c>
      <c r="G22" s="345">
        <f>G21*G19</f>
        <v>0</v>
      </c>
      <c r="H22" s="345">
        <f t="shared" ref="H22:M22" si="5">H21*H19</f>
        <v>0</v>
      </c>
      <c r="I22" s="345">
        <f t="shared" si="5"/>
        <v>0</v>
      </c>
      <c r="J22" s="345">
        <f t="shared" si="5"/>
        <v>0</v>
      </c>
      <c r="K22" s="345">
        <f t="shared" si="5"/>
        <v>0</v>
      </c>
      <c r="L22" s="345">
        <f t="shared" si="5"/>
        <v>0</v>
      </c>
      <c r="M22" s="345">
        <f t="shared" si="5"/>
        <v>0</v>
      </c>
      <c r="N22" s="397"/>
      <c r="O22" s="337"/>
    </row>
    <row r="23" spans="2:15">
      <c r="B23" s="343"/>
      <c r="C23" s="341"/>
      <c r="D23" s="336" t="s">
        <v>225</v>
      </c>
      <c r="E23" s="28" t="s">
        <v>219</v>
      </c>
      <c r="F23" s="345">
        <f>F19-F22</f>
        <v>0</v>
      </c>
      <c r="G23" s="345">
        <f>G19-G22</f>
        <v>0</v>
      </c>
      <c r="H23" s="345">
        <f>H19-H22</f>
        <v>0</v>
      </c>
      <c r="I23" s="345">
        <f t="shared" ref="I23:L23" si="6">I19-I22</f>
        <v>0</v>
      </c>
      <c r="J23" s="345">
        <f t="shared" si="6"/>
        <v>0</v>
      </c>
      <c r="K23" s="345">
        <f t="shared" si="6"/>
        <v>0</v>
      </c>
      <c r="L23" s="345">
        <f t="shared" si="6"/>
        <v>0</v>
      </c>
      <c r="M23" s="345">
        <f>M19-M22</f>
        <v>0</v>
      </c>
      <c r="N23" s="397"/>
      <c r="O23" s="337"/>
    </row>
    <row r="24" spans="2:15">
      <c r="B24" s="338" t="s">
        <v>226</v>
      </c>
      <c r="C24" s="341"/>
      <c r="D24" s="346" t="s">
        <v>227</v>
      </c>
      <c r="E24" s="28" t="s">
        <v>228</v>
      </c>
      <c r="F24" s="342">
        <f t="shared" ref="F24:M24" si="7">Shaft_backfill_rate_R</f>
        <v>65</v>
      </c>
      <c r="G24" s="342">
        <f t="shared" si="7"/>
        <v>65</v>
      </c>
      <c r="H24" s="342">
        <f t="shared" si="7"/>
        <v>65</v>
      </c>
      <c r="I24" s="342">
        <f t="shared" si="7"/>
        <v>65</v>
      </c>
      <c r="J24" s="342">
        <f t="shared" si="7"/>
        <v>65</v>
      </c>
      <c r="K24" s="342">
        <f t="shared" si="7"/>
        <v>65</v>
      </c>
      <c r="L24" s="342">
        <f t="shared" si="7"/>
        <v>65</v>
      </c>
      <c r="M24" s="342">
        <f t="shared" si="7"/>
        <v>65</v>
      </c>
      <c r="N24" s="397"/>
      <c r="O24" s="337"/>
    </row>
    <row r="25" spans="2:15">
      <c r="B25" s="340"/>
      <c r="C25" s="341"/>
      <c r="D25" s="346" t="s">
        <v>229</v>
      </c>
      <c r="E25" s="28" t="s">
        <v>228</v>
      </c>
      <c r="F25" s="414"/>
      <c r="G25" s="414"/>
      <c r="H25" s="414"/>
      <c r="I25" s="414"/>
      <c r="J25" s="414"/>
      <c r="K25" s="414"/>
      <c r="L25" s="414"/>
      <c r="M25" s="414"/>
      <c r="N25" s="397"/>
      <c r="O25" s="337"/>
    </row>
    <row r="26" spans="2:15">
      <c r="B26" s="343"/>
      <c r="C26" s="341"/>
      <c r="D26" s="346" t="s">
        <v>230</v>
      </c>
      <c r="E26" s="28" t="s">
        <v>207</v>
      </c>
      <c r="F26" s="344">
        <f t="shared" ref="F26:M26" si="8">F23*Soil_density_sand*IF(F25="",F24,F25)</f>
        <v>0</v>
      </c>
      <c r="G26" s="344">
        <f t="shared" si="8"/>
        <v>0</v>
      </c>
      <c r="H26" s="344">
        <f t="shared" si="8"/>
        <v>0</v>
      </c>
      <c r="I26" s="344">
        <f t="shared" si="8"/>
        <v>0</v>
      </c>
      <c r="J26" s="344">
        <f t="shared" si="8"/>
        <v>0</v>
      </c>
      <c r="K26" s="344">
        <f t="shared" si="8"/>
        <v>0</v>
      </c>
      <c r="L26" s="344">
        <f t="shared" si="8"/>
        <v>0</v>
      </c>
      <c r="M26" s="344">
        <f t="shared" si="8"/>
        <v>0</v>
      </c>
      <c r="N26" s="397"/>
      <c r="O26" s="337"/>
    </row>
    <row r="27" spans="2:15">
      <c r="B27" s="338" t="s">
        <v>231</v>
      </c>
      <c r="C27" s="341"/>
      <c r="D27" s="336" t="s">
        <v>232</v>
      </c>
      <c r="E27" s="28" t="s">
        <v>123</v>
      </c>
      <c r="F27" s="404" t="s">
        <v>233</v>
      </c>
      <c r="G27" s="404" t="s">
        <v>233</v>
      </c>
      <c r="H27" s="404" t="s">
        <v>233</v>
      </c>
      <c r="I27" s="404" t="s">
        <v>233</v>
      </c>
      <c r="J27" s="404" t="s">
        <v>233</v>
      </c>
      <c r="K27" s="404" t="s">
        <v>233</v>
      </c>
      <c r="L27" s="404" t="s">
        <v>233</v>
      </c>
      <c r="M27" s="404" t="s">
        <v>233</v>
      </c>
      <c r="N27" s="397"/>
      <c r="O27" s="337"/>
    </row>
    <row r="28" spans="2:15">
      <c r="B28" s="340"/>
      <c r="C28" s="341"/>
      <c r="D28" s="346" t="s">
        <v>227</v>
      </c>
      <c r="E28" s="28" t="s">
        <v>234</v>
      </c>
      <c r="F28" s="342">
        <f t="shared" ref="F28:M28" si="9">_xlfn.XLOOKUP(F27,Long_haul_soil_amend_names_mass_CS,Long_haul_soil_amend_rates_mass_CS)</f>
        <v>0.11650973647112783</v>
      </c>
      <c r="G28" s="342">
        <f t="shared" si="9"/>
        <v>0.11650973647112783</v>
      </c>
      <c r="H28" s="342">
        <f t="shared" si="9"/>
        <v>0.11650973647112783</v>
      </c>
      <c r="I28" s="342">
        <f t="shared" si="9"/>
        <v>0.11650973647112783</v>
      </c>
      <c r="J28" s="342">
        <f t="shared" si="9"/>
        <v>0.11650973647112783</v>
      </c>
      <c r="K28" s="342">
        <f t="shared" si="9"/>
        <v>0.11650973647112783</v>
      </c>
      <c r="L28" s="342">
        <f t="shared" si="9"/>
        <v>0.11650973647112783</v>
      </c>
      <c r="M28" s="342">
        <f t="shared" si="9"/>
        <v>0.11650973647112783</v>
      </c>
      <c r="N28" s="397"/>
      <c r="O28" s="337"/>
    </row>
    <row r="29" spans="2:15">
      <c r="B29" s="340"/>
      <c r="C29" s="341"/>
      <c r="D29" s="346" t="s">
        <v>229</v>
      </c>
      <c r="E29" s="28" t="s">
        <v>234</v>
      </c>
      <c r="F29" s="414"/>
      <c r="G29" s="414"/>
      <c r="H29" s="414"/>
      <c r="I29" s="414"/>
      <c r="J29" s="414"/>
      <c r="K29" s="414"/>
      <c r="L29" s="414"/>
      <c r="M29" s="414"/>
      <c r="N29" s="397"/>
      <c r="O29" s="337"/>
    </row>
    <row r="30" spans="2:15">
      <c r="B30" s="343"/>
      <c r="C30" s="341"/>
      <c r="D30" s="346" t="s">
        <v>235</v>
      </c>
      <c r="E30" s="28" t="s">
        <v>236</v>
      </c>
      <c r="F30" s="344">
        <f t="shared" ref="F30:M30" si="10">F23*Soil_density_sand*_xlfn.XLOOKUP(F27,Long_haul_distance_names_L,Long_haul_distances_average_L)*IF(F29="",F28,F29)</f>
        <v>0</v>
      </c>
      <c r="G30" s="344">
        <f t="shared" si="10"/>
        <v>0</v>
      </c>
      <c r="H30" s="344">
        <f t="shared" si="10"/>
        <v>0</v>
      </c>
      <c r="I30" s="344">
        <f t="shared" si="10"/>
        <v>0</v>
      </c>
      <c r="J30" s="344">
        <f t="shared" si="10"/>
        <v>0</v>
      </c>
      <c r="K30" s="344">
        <f t="shared" si="10"/>
        <v>0</v>
      </c>
      <c r="L30" s="344">
        <f t="shared" si="10"/>
        <v>0</v>
      </c>
      <c r="M30" s="344">
        <f t="shared" si="10"/>
        <v>0</v>
      </c>
      <c r="N30" s="397"/>
      <c r="O30" s="337"/>
    </row>
    <row r="31" spans="2:15" ht="33.75">
      <c r="B31" s="338" t="s">
        <v>237</v>
      </c>
      <c r="C31" s="341"/>
      <c r="D31" s="336" t="s">
        <v>238</v>
      </c>
      <c r="E31" s="28" t="s">
        <v>123</v>
      </c>
      <c r="F31" s="405" t="s">
        <v>239</v>
      </c>
      <c r="G31" s="405" t="s">
        <v>239</v>
      </c>
      <c r="H31" s="405" t="s">
        <v>239</v>
      </c>
      <c r="I31" s="405" t="s">
        <v>239</v>
      </c>
      <c r="J31" s="405" t="s">
        <v>239</v>
      </c>
      <c r="K31" s="405" t="s">
        <v>239</v>
      </c>
      <c r="L31" s="405" t="s">
        <v>239</v>
      </c>
      <c r="M31" s="405" t="s">
        <v>239</v>
      </c>
      <c r="N31" s="397"/>
      <c r="O31" s="337" t="s">
        <v>240</v>
      </c>
    </row>
    <row r="32" spans="2:15">
      <c r="B32" s="340"/>
      <c r="C32" s="341"/>
      <c r="D32" s="346" t="s">
        <v>227</v>
      </c>
      <c r="E32" s="28" t="s">
        <v>241</v>
      </c>
      <c r="F32" s="342">
        <f t="shared" ref="F32:M32" si="11">_xlfn.XLOOKUP(F31,Load_haul_fill_names_CS,Load_haul_fill_rates_CS)</f>
        <v>7.5000815645944918</v>
      </c>
      <c r="G32" s="342">
        <f t="shared" si="11"/>
        <v>7.5000815645944918</v>
      </c>
      <c r="H32" s="342">
        <f t="shared" si="11"/>
        <v>7.5000815645944918</v>
      </c>
      <c r="I32" s="342">
        <f t="shared" si="11"/>
        <v>7.5000815645944918</v>
      </c>
      <c r="J32" s="342">
        <f t="shared" si="11"/>
        <v>7.5000815645944918</v>
      </c>
      <c r="K32" s="342">
        <f t="shared" si="11"/>
        <v>7.5000815645944918</v>
      </c>
      <c r="L32" s="342">
        <f t="shared" si="11"/>
        <v>7.5000815645944918</v>
      </c>
      <c r="M32" s="342">
        <f t="shared" si="11"/>
        <v>7.5000815645944918</v>
      </c>
      <c r="N32" s="397"/>
      <c r="O32" s="337"/>
    </row>
    <row r="33" spans="2:15">
      <c r="B33" s="340"/>
      <c r="C33" s="341"/>
      <c r="D33" s="346" t="s">
        <v>229</v>
      </c>
      <c r="E33" s="28" t="s">
        <v>241</v>
      </c>
      <c r="F33" s="414"/>
      <c r="G33" s="414"/>
      <c r="H33" s="414"/>
      <c r="I33" s="414"/>
      <c r="J33" s="414"/>
      <c r="K33" s="414"/>
      <c r="L33" s="414"/>
      <c r="M33" s="414"/>
      <c r="N33" s="397"/>
      <c r="O33" s="337"/>
    </row>
    <row r="34" spans="2:15">
      <c r="B34" s="343"/>
      <c r="C34" s="331"/>
      <c r="D34" s="346" t="s">
        <v>235</v>
      </c>
      <c r="E34" s="28" t="s">
        <v>207</v>
      </c>
      <c r="F34" s="344">
        <f>F19*IF(F33="",F32,F33)</f>
        <v>0</v>
      </c>
      <c r="G34" s="344">
        <f t="shared" ref="G34:M34" si="12">G19*IF(G33="",G32,G33)</f>
        <v>0</v>
      </c>
      <c r="H34" s="344">
        <f t="shared" si="12"/>
        <v>0</v>
      </c>
      <c r="I34" s="344">
        <f t="shared" si="12"/>
        <v>0</v>
      </c>
      <c r="J34" s="344">
        <f t="shared" si="12"/>
        <v>0</v>
      </c>
      <c r="K34" s="344">
        <f t="shared" si="12"/>
        <v>0</v>
      </c>
      <c r="L34" s="344">
        <f t="shared" si="12"/>
        <v>0</v>
      </c>
      <c r="M34" s="344">
        <f t="shared" si="12"/>
        <v>0</v>
      </c>
      <c r="N34" s="397"/>
      <c r="O34" s="337"/>
    </row>
    <row r="35" spans="2:15">
      <c r="B35" s="338" t="s">
        <v>242</v>
      </c>
      <c r="C35" s="339" t="s">
        <v>243</v>
      </c>
      <c r="D35" s="336" t="s">
        <v>244</v>
      </c>
      <c r="E35" s="28" t="s">
        <v>123</v>
      </c>
      <c r="F35" s="404" t="s">
        <v>132</v>
      </c>
      <c r="G35" s="404" t="s">
        <v>132</v>
      </c>
      <c r="H35" s="404" t="s">
        <v>132</v>
      </c>
      <c r="I35" s="404" t="s">
        <v>132</v>
      </c>
      <c r="J35" s="404" t="s">
        <v>132</v>
      </c>
      <c r="K35" s="404" t="s">
        <v>132</v>
      </c>
      <c r="L35" s="404" t="s">
        <v>132</v>
      </c>
      <c r="M35" s="404" t="s">
        <v>132</v>
      </c>
      <c r="N35" s="397"/>
      <c r="O35" s="337"/>
    </row>
    <row r="36" spans="2:15">
      <c r="B36" s="340"/>
      <c r="C36" s="341"/>
      <c r="D36" s="336" t="s">
        <v>245</v>
      </c>
      <c r="E36" s="28" t="s">
        <v>211</v>
      </c>
      <c r="F36" s="347">
        <f t="shared" ref="F36:M36" si="13">Concrete_plug_thickness</f>
        <v>3</v>
      </c>
      <c r="G36" s="347">
        <f t="shared" si="13"/>
        <v>3</v>
      </c>
      <c r="H36" s="347">
        <f t="shared" si="13"/>
        <v>3</v>
      </c>
      <c r="I36" s="347">
        <f t="shared" si="13"/>
        <v>3</v>
      </c>
      <c r="J36" s="347">
        <f t="shared" si="13"/>
        <v>3</v>
      </c>
      <c r="K36" s="347">
        <f t="shared" si="13"/>
        <v>3</v>
      </c>
      <c r="L36" s="347">
        <f t="shared" si="13"/>
        <v>3</v>
      </c>
      <c r="M36" s="347">
        <f t="shared" si="13"/>
        <v>3</v>
      </c>
      <c r="N36" s="397"/>
      <c r="O36" s="337"/>
    </row>
    <row r="37" spans="2:15">
      <c r="B37" s="340"/>
      <c r="C37" s="341"/>
      <c r="D37" s="336" t="s">
        <v>246</v>
      </c>
      <c r="E37" s="28" t="s">
        <v>219</v>
      </c>
      <c r="F37" s="345">
        <f t="shared" ref="F37:M37" si="14">IF(F35=No,0,F17*F36*(1.15))</f>
        <v>0</v>
      </c>
      <c r="G37" s="345">
        <f t="shared" si="14"/>
        <v>0</v>
      </c>
      <c r="H37" s="345">
        <f t="shared" si="14"/>
        <v>0</v>
      </c>
      <c r="I37" s="345">
        <f t="shared" si="14"/>
        <v>0</v>
      </c>
      <c r="J37" s="345">
        <f t="shared" si="14"/>
        <v>0</v>
      </c>
      <c r="K37" s="345">
        <f t="shared" si="14"/>
        <v>0</v>
      </c>
      <c r="L37" s="345">
        <f t="shared" si="14"/>
        <v>0</v>
      </c>
      <c r="M37" s="345">
        <f t="shared" si="14"/>
        <v>0</v>
      </c>
      <c r="N37" s="397"/>
      <c r="O37" s="337"/>
    </row>
    <row r="38" spans="2:15">
      <c r="B38" s="340"/>
      <c r="C38" s="341"/>
      <c r="D38" s="346" t="s">
        <v>247</v>
      </c>
      <c r="E38" s="28" t="s">
        <v>241</v>
      </c>
      <c r="F38" s="342">
        <f t="shared" ref="F38:M38" si="15">IF(F35=No,0,Concrete_for_holes_rate)</f>
        <v>0</v>
      </c>
      <c r="G38" s="342">
        <f t="shared" si="15"/>
        <v>0</v>
      </c>
      <c r="H38" s="342">
        <f t="shared" si="15"/>
        <v>0</v>
      </c>
      <c r="I38" s="342">
        <f t="shared" si="15"/>
        <v>0</v>
      </c>
      <c r="J38" s="342">
        <f t="shared" si="15"/>
        <v>0</v>
      </c>
      <c r="K38" s="342">
        <f t="shared" si="15"/>
        <v>0</v>
      </c>
      <c r="L38" s="342">
        <f t="shared" si="15"/>
        <v>0</v>
      </c>
      <c r="M38" s="342">
        <f t="shared" si="15"/>
        <v>0</v>
      </c>
      <c r="N38" s="397"/>
      <c r="O38" s="337"/>
    </row>
    <row r="39" spans="2:15">
      <c r="B39" s="340"/>
      <c r="C39" s="341"/>
      <c r="D39" s="346" t="s">
        <v>248</v>
      </c>
      <c r="E39" s="28" t="s">
        <v>241</v>
      </c>
      <c r="F39" s="414"/>
      <c r="G39" s="414"/>
      <c r="H39" s="414"/>
      <c r="I39" s="414"/>
      <c r="J39" s="414"/>
      <c r="K39" s="414"/>
      <c r="L39" s="414"/>
      <c r="M39" s="414"/>
      <c r="N39" s="397"/>
      <c r="O39" s="337"/>
    </row>
    <row r="40" spans="2:15">
      <c r="B40" s="340"/>
      <c r="C40" s="341"/>
      <c r="D40" s="346" t="s">
        <v>249</v>
      </c>
      <c r="E40" s="28" t="s">
        <v>207</v>
      </c>
      <c r="F40" s="344">
        <f>F37*IF(F39="",F38,F39)</f>
        <v>0</v>
      </c>
      <c r="G40" s="344">
        <f>G37*IF(G39="",G38,G39)</f>
        <v>0</v>
      </c>
      <c r="H40" s="344">
        <f>H37*IF(H39="",H38,H39)</f>
        <v>0</v>
      </c>
      <c r="I40" s="344">
        <f t="shared" ref="I40:L40" si="16">I37*IF(I39="",I38,I39)</f>
        <v>0</v>
      </c>
      <c r="J40" s="344">
        <f t="shared" si="16"/>
        <v>0</v>
      </c>
      <c r="K40" s="344">
        <f t="shared" si="16"/>
        <v>0</v>
      </c>
      <c r="L40" s="344">
        <f t="shared" si="16"/>
        <v>0</v>
      </c>
      <c r="M40" s="344">
        <f>M37*IF(M39="",M38,M39)</f>
        <v>0</v>
      </c>
      <c r="N40" s="397"/>
      <c r="O40" s="337"/>
    </row>
    <row r="41" spans="2:15">
      <c r="B41" s="340"/>
      <c r="C41" s="341"/>
      <c r="D41" s="336" t="s">
        <v>250</v>
      </c>
      <c r="E41" s="28" t="s">
        <v>123</v>
      </c>
      <c r="F41" s="404" t="s">
        <v>251</v>
      </c>
      <c r="G41" s="404" t="s">
        <v>251</v>
      </c>
      <c r="H41" s="404" t="s">
        <v>251</v>
      </c>
      <c r="I41" s="404" t="s">
        <v>251</v>
      </c>
      <c r="J41" s="404" t="s">
        <v>251</v>
      </c>
      <c r="K41" s="404" t="s">
        <v>251</v>
      </c>
      <c r="L41" s="404" t="s">
        <v>251</v>
      </c>
      <c r="M41" s="404" t="s">
        <v>251</v>
      </c>
      <c r="N41" s="397"/>
      <c r="O41" s="337"/>
    </row>
    <row r="42" spans="2:15">
      <c r="B42" s="340"/>
      <c r="C42" s="341"/>
      <c r="D42" s="346" t="s">
        <v>252</v>
      </c>
      <c r="E42" s="28" t="s">
        <v>253</v>
      </c>
      <c r="F42" s="342">
        <f t="shared" ref="F42:M42" si="17">IF(F35=No,0,_xlfn.XLOOKUP(F41,Long_haul_concrete_plug_distances_CS,Long_haul_concrete_plug_rates_CS))</f>
        <v>0</v>
      </c>
      <c r="G42" s="342">
        <f t="shared" si="17"/>
        <v>0</v>
      </c>
      <c r="H42" s="342">
        <f t="shared" si="17"/>
        <v>0</v>
      </c>
      <c r="I42" s="342">
        <f t="shared" si="17"/>
        <v>0</v>
      </c>
      <c r="J42" s="342">
        <f t="shared" si="17"/>
        <v>0</v>
      </c>
      <c r="K42" s="342">
        <f t="shared" si="17"/>
        <v>0</v>
      </c>
      <c r="L42" s="342">
        <f t="shared" si="17"/>
        <v>0</v>
      </c>
      <c r="M42" s="342">
        <f t="shared" si="17"/>
        <v>0</v>
      </c>
      <c r="N42" s="397"/>
      <c r="O42" s="337"/>
    </row>
    <row r="43" spans="2:15">
      <c r="B43" s="340"/>
      <c r="C43" s="341"/>
      <c r="D43" s="346" t="s">
        <v>254</v>
      </c>
      <c r="E43" s="28" t="s">
        <v>253</v>
      </c>
      <c r="F43" s="414"/>
      <c r="G43" s="414"/>
      <c r="H43" s="414"/>
      <c r="I43" s="414"/>
      <c r="J43" s="414"/>
      <c r="K43" s="414"/>
      <c r="L43" s="414"/>
      <c r="M43" s="414"/>
      <c r="N43" s="397"/>
      <c r="O43" s="337"/>
    </row>
    <row r="44" spans="2:15">
      <c r="B44" s="340"/>
      <c r="C44" s="341"/>
      <c r="D44" s="346" t="s">
        <v>255</v>
      </c>
      <c r="E44" s="28" t="s">
        <v>236</v>
      </c>
      <c r="F44" s="348">
        <f t="shared" ref="F44:M44" si="18">F37*_xlfn.XLOOKUP(F41,Long_haul_distance_names_L,Long_haul_distances_average_L)*IF(F43="",F42,F43)</f>
        <v>0</v>
      </c>
      <c r="G44" s="348">
        <f t="shared" si="18"/>
        <v>0</v>
      </c>
      <c r="H44" s="348">
        <f t="shared" si="18"/>
        <v>0</v>
      </c>
      <c r="I44" s="348">
        <f t="shared" si="18"/>
        <v>0</v>
      </c>
      <c r="J44" s="348">
        <f t="shared" si="18"/>
        <v>0</v>
      </c>
      <c r="K44" s="348">
        <f t="shared" si="18"/>
        <v>0</v>
      </c>
      <c r="L44" s="348">
        <f t="shared" si="18"/>
        <v>0</v>
      </c>
      <c r="M44" s="348">
        <f t="shared" si="18"/>
        <v>0</v>
      </c>
      <c r="N44" s="397"/>
      <c r="O44" s="337"/>
    </row>
    <row r="45" spans="2:15">
      <c r="B45" s="340"/>
      <c r="C45" s="341"/>
      <c r="D45" s="346" t="s">
        <v>256</v>
      </c>
      <c r="E45" s="28" t="s">
        <v>257</v>
      </c>
      <c r="F45" s="342">
        <f>IF(F35=No,0,'Cost Schedule'!$D$992)</f>
        <v>0</v>
      </c>
      <c r="G45" s="342">
        <f>IF(G35=No,0,'Cost Schedule'!$D$992)</f>
        <v>0</v>
      </c>
      <c r="H45" s="342">
        <f>IF(H35=No,0,'Cost Schedule'!$D$992)</f>
        <v>0</v>
      </c>
      <c r="I45" s="342">
        <f>IF(I35=No,0,'Cost Schedule'!$D$992)</f>
        <v>0</v>
      </c>
      <c r="J45" s="342">
        <f>IF(J35=No,0,'Cost Schedule'!$D$992)</f>
        <v>0</v>
      </c>
      <c r="K45" s="342">
        <f>IF(K35=No,0,'Cost Schedule'!$D$992)</f>
        <v>0</v>
      </c>
      <c r="L45" s="342">
        <f>IF(L35=No,0,'Cost Schedule'!$D$992)</f>
        <v>0</v>
      </c>
      <c r="M45" s="342">
        <f>IF(M35=No,0,'Cost Schedule'!$D$992)</f>
        <v>0</v>
      </c>
      <c r="N45" s="397"/>
      <c r="O45" s="337"/>
    </row>
    <row r="46" spans="2:15">
      <c r="B46" s="340"/>
      <c r="C46" s="341"/>
      <c r="D46" s="346" t="s">
        <v>258</v>
      </c>
      <c r="E46" s="28" t="s">
        <v>259</v>
      </c>
      <c r="F46" s="349">
        <f t="shared" ref="F46:M46" si="19">F45*F17</f>
        <v>0</v>
      </c>
      <c r="G46" s="349">
        <f t="shared" si="19"/>
        <v>0</v>
      </c>
      <c r="H46" s="349">
        <f t="shared" si="19"/>
        <v>0</v>
      </c>
      <c r="I46" s="349">
        <f t="shared" si="19"/>
        <v>0</v>
      </c>
      <c r="J46" s="349">
        <f t="shared" si="19"/>
        <v>0</v>
      </c>
      <c r="K46" s="349">
        <f t="shared" si="19"/>
        <v>0</v>
      </c>
      <c r="L46" s="349">
        <f t="shared" si="19"/>
        <v>0</v>
      </c>
      <c r="M46" s="349">
        <f t="shared" si="19"/>
        <v>0</v>
      </c>
      <c r="N46" s="397"/>
      <c r="O46" s="337"/>
    </row>
    <row r="47" spans="2:15">
      <c r="B47" s="340"/>
      <c r="C47" s="341"/>
      <c r="D47" s="346" t="s">
        <v>260</v>
      </c>
      <c r="E47" s="28" t="s">
        <v>259</v>
      </c>
      <c r="F47" s="414"/>
      <c r="G47" s="414"/>
      <c r="H47" s="414"/>
      <c r="I47" s="414"/>
      <c r="J47" s="414"/>
      <c r="K47" s="414"/>
      <c r="L47" s="414"/>
      <c r="M47" s="414"/>
      <c r="N47" s="397"/>
      <c r="O47" s="337"/>
    </row>
    <row r="48" spans="2:15">
      <c r="B48" s="343"/>
      <c r="C48" s="331"/>
      <c r="D48" s="346" t="s">
        <v>235</v>
      </c>
      <c r="E48" s="28" t="s">
        <v>207</v>
      </c>
      <c r="F48" s="344">
        <f>IF(F47="",F46,F47)</f>
        <v>0</v>
      </c>
      <c r="G48" s="344">
        <f>IF(G47="",G46,G47)</f>
        <v>0</v>
      </c>
      <c r="H48" s="344">
        <f>IF(H47="",H46,H47)</f>
        <v>0</v>
      </c>
      <c r="I48" s="344">
        <f t="shared" ref="I48:L48" si="20">IF(I47="",I46,I47)</f>
        <v>0</v>
      </c>
      <c r="J48" s="344">
        <f t="shared" si="20"/>
        <v>0</v>
      </c>
      <c r="K48" s="344">
        <f t="shared" si="20"/>
        <v>0</v>
      </c>
      <c r="L48" s="344">
        <f t="shared" si="20"/>
        <v>0</v>
      </c>
      <c r="M48" s="344">
        <f>IF(M47="",M46,M47)</f>
        <v>0</v>
      </c>
      <c r="N48" s="397"/>
      <c r="O48" s="337"/>
    </row>
    <row r="49" spans="2:15">
      <c r="B49" s="338" t="s">
        <v>261</v>
      </c>
      <c r="C49" s="339" t="s">
        <v>262</v>
      </c>
      <c r="D49" s="346" t="s">
        <v>263</v>
      </c>
      <c r="E49" s="28" t="s">
        <v>264</v>
      </c>
      <c r="F49" s="406"/>
      <c r="G49" s="406"/>
      <c r="H49" s="406"/>
      <c r="I49" s="406"/>
      <c r="J49" s="406"/>
      <c r="K49" s="406"/>
      <c r="L49" s="406"/>
      <c r="M49" s="406"/>
      <c r="N49" s="397"/>
      <c r="O49" s="337"/>
    </row>
    <row r="50" spans="2:15">
      <c r="B50" s="340"/>
      <c r="C50" s="341"/>
      <c r="D50" s="346" t="s">
        <v>227</v>
      </c>
      <c r="E50" s="28" t="s">
        <v>265</v>
      </c>
      <c r="F50" s="342">
        <f>'Cost Schedule'!$D$1002</f>
        <v>8413.9979000000003</v>
      </c>
      <c r="G50" s="342">
        <f>'Cost Schedule'!$D$1002</f>
        <v>8413.9979000000003</v>
      </c>
      <c r="H50" s="342">
        <f>'Cost Schedule'!$D$1002</f>
        <v>8413.9979000000003</v>
      </c>
      <c r="I50" s="342">
        <f>'Cost Schedule'!$D$1002</f>
        <v>8413.9979000000003</v>
      </c>
      <c r="J50" s="342">
        <f>'Cost Schedule'!$D$1002</f>
        <v>8413.9979000000003</v>
      </c>
      <c r="K50" s="342">
        <f>'Cost Schedule'!$D$1002</f>
        <v>8413.9979000000003</v>
      </c>
      <c r="L50" s="342">
        <f>'Cost Schedule'!$D$1002</f>
        <v>8413.9979000000003</v>
      </c>
      <c r="M50" s="342">
        <f>'Cost Schedule'!$D$1002</f>
        <v>8413.9979000000003</v>
      </c>
      <c r="N50" s="397"/>
      <c r="O50" s="337"/>
    </row>
    <row r="51" spans="2:15">
      <c r="B51" s="340"/>
      <c r="C51" s="341"/>
      <c r="D51" s="346" t="s">
        <v>229</v>
      </c>
      <c r="E51" s="28" t="s">
        <v>265</v>
      </c>
      <c r="F51" s="415"/>
      <c r="G51" s="415"/>
      <c r="H51" s="415"/>
      <c r="I51" s="415"/>
      <c r="J51" s="415"/>
      <c r="K51" s="415"/>
      <c r="L51" s="415"/>
      <c r="M51" s="415"/>
      <c r="N51" s="397"/>
      <c r="O51" s="337"/>
    </row>
    <row r="52" spans="2:15">
      <c r="B52" s="343"/>
      <c r="C52" s="331"/>
      <c r="D52" s="346" t="s">
        <v>146</v>
      </c>
      <c r="E52" s="28" t="s">
        <v>207</v>
      </c>
      <c r="F52" s="350">
        <f>IF(F51="",F50,F51)*F49</f>
        <v>0</v>
      </c>
      <c r="G52" s="350">
        <f t="shared" ref="G52:M52" si="21">IF(G51="",G50,G51)*G49</f>
        <v>0</v>
      </c>
      <c r="H52" s="350">
        <f t="shared" si="21"/>
        <v>0</v>
      </c>
      <c r="I52" s="350">
        <f t="shared" ref="I52:L52" si="22">IF(I51="",I50,I51)*I49</f>
        <v>0</v>
      </c>
      <c r="J52" s="350">
        <f t="shared" si="22"/>
        <v>0</v>
      </c>
      <c r="K52" s="350">
        <f t="shared" si="22"/>
        <v>0</v>
      </c>
      <c r="L52" s="350">
        <f t="shared" si="22"/>
        <v>0</v>
      </c>
      <c r="M52" s="350">
        <f t="shared" si="21"/>
        <v>0</v>
      </c>
      <c r="N52" s="407"/>
      <c r="O52" s="337"/>
    </row>
    <row r="53" spans="2:15">
      <c r="B53" s="351" t="s">
        <v>266</v>
      </c>
      <c r="C53" s="352"/>
      <c r="D53" s="336" t="s">
        <v>202</v>
      </c>
      <c r="E53" s="28" t="s">
        <v>267</v>
      </c>
      <c r="F53" s="408"/>
      <c r="G53" s="408"/>
      <c r="H53" s="408"/>
      <c r="I53" s="408"/>
      <c r="J53" s="408"/>
      <c r="K53" s="408"/>
      <c r="L53" s="408"/>
      <c r="M53" s="408"/>
      <c r="N53" s="397"/>
      <c r="O53" s="337"/>
    </row>
    <row r="54" spans="2:15">
      <c r="B54" s="353"/>
      <c r="C54" s="354"/>
      <c r="D54" s="336" t="s">
        <v>204</v>
      </c>
      <c r="E54" s="28" t="s">
        <v>259</v>
      </c>
      <c r="F54" s="342">
        <f>'Cost Schedule'!$D$998</f>
        <v>163909.04999999999</v>
      </c>
      <c r="G54" s="342">
        <f>'Cost Schedule'!$D$998</f>
        <v>163909.04999999999</v>
      </c>
      <c r="H54" s="342">
        <f>'Cost Schedule'!$D$998</f>
        <v>163909.04999999999</v>
      </c>
      <c r="I54" s="342">
        <f>'Cost Schedule'!$D$998</f>
        <v>163909.04999999999</v>
      </c>
      <c r="J54" s="342">
        <f>'Cost Schedule'!$D$998</f>
        <v>163909.04999999999</v>
      </c>
      <c r="K54" s="342">
        <f>'Cost Schedule'!$D$998</f>
        <v>163909.04999999999</v>
      </c>
      <c r="L54" s="342">
        <f>'Cost Schedule'!$D$998</f>
        <v>163909.04999999999</v>
      </c>
      <c r="M54" s="342">
        <f>'Cost Schedule'!$D$998</f>
        <v>163909.04999999999</v>
      </c>
      <c r="N54" s="397"/>
      <c r="O54" s="337"/>
    </row>
    <row r="55" spans="2:15">
      <c r="B55" s="353"/>
      <c r="C55" s="354"/>
      <c r="D55" s="336" t="s">
        <v>206</v>
      </c>
      <c r="E55" s="28" t="s">
        <v>259</v>
      </c>
      <c r="F55" s="414"/>
      <c r="G55" s="414"/>
      <c r="H55" s="414"/>
      <c r="I55" s="414"/>
      <c r="J55" s="414"/>
      <c r="K55" s="414"/>
      <c r="L55" s="414"/>
      <c r="M55" s="414"/>
      <c r="N55" s="397"/>
      <c r="O55" s="337"/>
    </row>
    <row r="56" spans="2:15">
      <c r="B56" s="355"/>
      <c r="C56" s="356"/>
      <c r="D56" s="336" t="s">
        <v>146</v>
      </c>
      <c r="E56" s="28" t="s">
        <v>207</v>
      </c>
      <c r="F56" s="344">
        <f>F53*IF(F55="",F54,F55)</f>
        <v>0</v>
      </c>
      <c r="G56" s="344">
        <f t="shared" ref="G56" si="23">G53*IF(G55="",G54,G55)</f>
        <v>0</v>
      </c>
      <c r="H56" s="344">
        <f t="shared" ref="H56:L56" si="24">H53*IF(H55="",H54,H55)</f>
        <v>0</v>
      </c>
      <c r="I56" s="344">
        <f t="shared" si="24"/>
        <v>0</v>
      </c>
      <c r="J56" s="344">
        <f t="shared" si="24"/>
        <v>0</v>
      </c>
      <c r="K56" s="344">
        <f t="shared" si="24"/>
        <v>0</v>
      </c>
      <c r="L56" s="344">
        <f t="shared" si="24"/>
        <v>0</v>
      </c>
      <c r="M56" s="344">
        <f t="shared" ref="M56" si="25">M53*IF(M55="",M54,M55)</f>
        <v>0</v>
      </c>
      <c r="N56" s="397"/>
      <c r="O56" s="337"/>
    </row>
    <row r="57" spans="2:15">
      <c r="B57" s="357"/>
      <c r="C57" s="358"/>
      <c r="D57" s="359" t="str">
        <f>B10</f>
        <v>Rehabilitate Ventilation Shafts</v>
      </c>
      <c r="E57" s="360" t="s">
        <v>259</v>
      </c>
      <c r="F57" s="361">
        <f t="shared" ref="F57:M57" si="26">F14+F26+F30+F34+F40+F44+F48+F52+F56</f>
        <v>0</v>
      </c>
      <c r="G57" s="361">
        <f t="shared" si="26"/>
        <v>0</v>
      </c>
      <c r="H57" s="361">
        <f t="shared" si="26"/>
        <v>0</v>
      </c>
      <c r="I57" s="361">
        <f t="shared" si="26"/>
        <v>0</v>
      </c>
      <c r="J57" s="361">
        <f t="shared" si="26"/>
        <v>0</v>
      </c>
      <c r="K57" s="361">
        <f t="shared" si="26"/>
        <v>0</v>
      </c>
      <c r="L57" s="361">
        <f t="shared" si="26"/>
        <v>0</v>
      </c>
      <c r="M57" s="361">
        <f t="shared" si="26"/>
        <v>0</v>
      </c>
      <c r="N57" s="407"/>
      <c r="O57" s="337"/>
    </row>
    <row r="58" spans="2:15" ht="12" thickBot="1">
      <c r="B58" s="362"/>
      <c r="C58" s="363"/>
      <c r="D58" s="364" t="str">
        <f>B10</f>
        <v>Rehabilitate Ventilation Shafts</v>
      </c>
      <c r="E58" s="62" t="s">
        <v>268</v>
      </c>
      <c r="F58" s="365">
        <f>F57*F10</f>
        <v>0</v>
      </c>
      <c r="G58" s="365">
        <f t="shared" ref="G58:M58" si="27">G57*G10+G56</f>
        <v>0</v>
      </c>
      <c r="H58" s="365">
        <f t="shared" si="27"/>
        <v>0</v>
      </c>
      <c r="I58" s="365">
        <f t="shared" si="27"/>
        <v>0</v>
      </c>
      <c r="J58" s="365">
        <f t="shared" si="27"/>
        <v>0</v>
      </c>
      <c r="K58" s="365">
        <f t="shared" si="27"/>
        <v>0</v>
      </c>
      <c r="L58" s="365">
        <f t="shared" si="27"/>
        <v>0</v>
      </c>
      <c r="M58" s="365">
        <f t="shared" si="27"/>
        <v>0</v>
      </c>
      <c r="N58" s="397"/>
      <c r="O58" s="337"/>
    </row>
    <row r="59" spans="2:15" ht="12" thickTop="1">
      <c r="B59" s="357"/>
      <c r="C59" s="358"/>
      <c r="D59" s="359" t="str">
        <f>B10</f>
        <v>Rehabilitate Ventilation Shafts</v>
      </c>
      <c r="E59" s="360" t="s">
        <v>269</v>
      </c>
      <c r="F59" s="366" t="str">
        <f t="shared" ref="F59:M59" si="28">IF(F15=0,"No shafts",F57/F15)</f>
        <v>No shafts</v>
      </c>
      <c r="G59" s="366" t="str">
        <f t="shared" si="28"/>
        <v>No shafts</v>
      </c>
      <c r="H59" s="366" t="str">
        <f t="shared" si="28"/>
        <v>No shafts</v>
      </c>
      <c r="I59" s="366" t="str">
        <f t="shared" si="28"/>
        <v>No shafts</v>
      </c>
      <c r="J59" s="366" t="str">
        <f t="shared" si="28"/>
        <v>No shafts</v>
      </c>
      <c r="K59" s="366" t="str">
        <f t="shared" si="28"/>
        <v>No shafts</v>
      </c>
      <c r="L59" s="366" t="str">
        <f t="shared" si="28"/>
        <v>No shafts</v>
      </c>
      <c r="M59" s="366" t="str">
        <f t="shared" si="28"/>
        <v>No shafts</v>
      </c>
      <c r="N59" s="407"/>
      <c r="O59" s="337"/>
    </row>
    <row r="60" spans="2:15" ht="22.5">
      <c r="B60" s="334" t="s">
        <v>270</v>
      </c>
      <c r="C60" s="335" t="s">
        <v>271</v>
      </c>
      <c r="D60" s="336" t="s">
        <v>198</v>
      </c>
      <c r="E60" s="28" t="s">
        <v>199</v>
      </c>
      <c r="F60" s="399"/>
      <c r="G60" s="399"/>
      <c r="H60" s="399"/>
      <c r="I60" s="399"/>
      <c r="J60" s="399"/>
      <c r="K60" s="399"/>
      <c r="L60" s="399"/>
      <c r="M60" s="399"/>
      <c r="N60" s="397"/>
      <c r="O60" s="337"/>
    </row>
    <row r="61" spans="2:15">
      <c r="B61" s="338" t="s">
        <v>200</v>
      </c>
      <c r="C61" s="339" t="s">
        <v>272</v>
      </c>
      <c r="D61" s="336" t="s">
        <v>202</v>
      </c>
      <c r="E61" s="28" t="s">
        <v>203</v>
      </c>
      <c r="F61" s="406"/>
      <c r="G61" s="406"/>
      <c r="H61" s="406"/>
      <c r="I61" s="406"/>
      <c r="J61" s="406"/>
      <c r="K61" s="406"/>
      <c r="L61" s="406"/>
      <c r="M61" s="406"/>
      <c r="N61" s="397"/>
      <c r="O61" s="337"/>
    </row>
    <row r="62" spans="2:15">
      <c r="B62" s="340"/>
      <c r="C62" s="341"/>
      <c r="D62" s="336" t="s">
        <v>204</v>
      </c>
      <c r="E62" s="28" t="s">
        <v>205</v>
      </c>
      <c r="F62" s="342">
        <f>'Cost Schedule'!$D$105</f>
        <v>26695.016470396458</v>
      </c>
      <c r="G62" s="342">
        <f>'Cost Schedule'!$D$105</f>
        <v>26695.016470396458</v>
      </c>
      <c r="H62" s="342">
        <f>'Cost Schedule'!$D$105</f>
        <v>26695.016470396458</v>
      </c>
      <c r="I62" s="342">
        <f>'Cost Schedule'!$D$105</f>
        <v>26695.016470396458</v>
      </c>
      <c r="J62" s="342">
        <f>'Cost Schedule'!$D$105</f>
        <v>26695.016470396458</v>
      </c>
      <c r="K62" s="342">
        <f>'Cost Schedule'!$D$105</f>
        <v>26695.016470396458</v>
      </c>
      <c r="L62" s="342">
        <f>'Cost Schedule'!$D$105</f>
        <v>26695.016470396458</v>
      </c>
      <c r="M62" s="342">
        <f>'Cost Schedule'!$D$105</f>
        <v>26695.016470396458</v>
      </c>
      <c r="N62" s="397"/>
      <c r="O62" s="337"/>
    </row>
    <row r="63" spans="2:15">
      <c r="B63" s="340"/>
      <c r="C63" s="341"/>
      <c r="D63" s="336" t="s">
        <v>206</v>
      </c>
      <c r="E63" s="28" t="s">
        <v>205</v>
      </c>
      <c r="F63" s="414"/>
      <c r="G63" s="414"/>
      <c r="H63" s="414"/>
      <c r="I63" s="414"/>
      <c r="J63" s="414"/>
      <c r="K63" s="414"/>
      <c r="L63" s="414"/>
      <c r="M63" s="414"/>
      <c r="N63" s="397"/>
      <c r="O63" s="337"/>
    </row>
    <row r="64" spans="2:15">
      <c r="B64" s="343"/>
      <c r="C64" s="331"/>
      <c r="D64" s="336" t="s">
        <v>146</v>
      </c>
      <c r="E64" s="28" t="s">
        <v>207</v>
      </c>
      <c r="F64" s="344">
        <f>F61*IF(F63="",F62,F63)</f>
        <v>0</v>
      </c>
      <c r="G64" s="344">
        <f>G61*IF(G63="",G62,G63)</f>
        <v>0</v>
      </c>
      <c r="H64" s="344">
        <f>H61*IF(H63="",H62,H63)</f>
        <v>0</v>
      </c>
      <c r="I64" s="344">
        <f t="shared" ref="I64:L64" si="29">I61*IF(I63="",I62,I63)</f>
        <v>0</v>
      </c>
      <c r="J64" s="344">
        <f t="shared" si="29"/>
        <v>0</v>
      </c>
      <c r="K64" s="344">
        <f t="shared" si="29"/>
        <v>0</v>
      </c>
      <c r="L64" s="344">
        <f t="shared" si="29"/>
        <v>0</v>
      </c>
      <c r="M64" s="344">
        <f>M61*IF(M63="",M62,M63)</f>
        <v>0</v>
      </c>
      <c r="N64" s="397"/>
      <c r="O64" s="337"/>
    </row>
    <row r="65" spans="2:15">
      <c r="B65" s="338" t="s">
        <v>273</v>
      </c>
      <c r="C65" s="339" t="s">
        <v>274</v>
      </c>
      <c r="D65" s="336" t="s">
        <v>210</v>
      </c>
      <c r="E65" s="28" t="s">
        <v>211</v>
      </c>
      <c r="F65" s="402"/>
      <c r="G65" s="402"/>
      <c r="H65" s="402"/>
      <c r="I65" s="402"/>
      <c r="J65" s="402"/>
      <c r="K65" s="402"/>
      <c r="L65" s="402"/>
      <c r="M65" s="402"/>
      <c r="N65" s="397"/>
      <c r="O65" s="337" t="s">
        <v>212</v>
      </c>
    </row>
    <row r="66" spans="2:15">
      <c r="B66" s="340"/>
      <c r="C66" s="341"/>
      <c r="D66" s="336" t="s">
        <v>213</v>
      </c>
      <c r="E66" s="28" t="s">
        <v>211</v>
      </c>
      <c r="F66" s="409"/>
      <c r="G66" s="409"/>
      <c r="H66" s="409"/>
      <c r="I66" s="409"/>
      <c r="J66" s="409"/>
      <c r="K66" s="409"/>
      <c r="L66" s="409"/>
      <c r="M66" s="409"/>
      <c r="N66" s="397"/>
      <c r="O66" s="337"/>
    </row>
    <row r="67" spans="2:15">
      <c r="B67" s="340"/>
      <c r="C67" s="341"/>
      <c r="D67" s="336" t="s">
        <v>214</v>
      </c>
      <c r="E67" s="28" t="s">
        <v>215</v>
      </c>
      <c r="F67" s="345">
        <f>PI()*F66^2/4</f>
        <v>0</v>
      </c>
      <c r="G67" s="345">
        <f>PI()*G66^2/4</f>
        <v>0</v>
      </c>
      <c r="H67" s="345">
        <f>PI()*H66^2/4</f>
        <v>0</v>
      </c>
      <c r="I67" s="345">
        <f t="shared" ref="I67:L67" si="30">PI()*I66^2/4</f>
        <v>0</v>
      </c>
      <c r="J67" s="345">
        <f t="shared" si="30"/>
        <v>0</v>
      </c>
      <c r="K67" s="345">
        <f t="shared" si="30"/>
        <v>0</v>
      </c>
      <c r="L67" s="345">
        <f t="shared" si="30"/>
        <v>0</v>
      </c>
      <c r="M67" s="345">
        <f>PI()*M66^2/4</f>
        <v>0</v>
      </c>
      <c r="N67" s="397"/>
      <c r="O67" s="337"/>
    </row>
    <row r="68" spans="2:15">
      <c r="B68" s="340"/>
      <c r="C68" s="341"/>
      <c r="D68" s="336" t="s">
        <v>216</v>
      </c>
      <c r="E68" s="28" t="s">
        <v>217</v>
      </c>
      <c r="F68" s="345">
        <f>'Assumptions - General'!$C$99</f>
        <v>1.25</v>
      </c>
      <c r="G68" s="345">
        <f>'Assumptions - General'!$C$99</f>
        <v>1.25</v>
      </c>
      <c r="H68" s="345">
        <f>'Assumptions - General'!$C$99</f>
        <v>1.25</v>
      </c>
      <c r="I68" s="345">
        <f>'Assumptions - General'!$C$99</f>
        <v>1.25</v>
      </c>
      <c r="J68" s="345">
        <f>'Assumptions - General'!$C$99</f>
        <v>1.25</v>
      </c>
      <c r="K68" s="345">
        <f>'Assumptions - General'!$C$99</f>
        <v>1.25</v>
      </c>
      <c r="L68" s="345">
        <f>'Assumptions - General'!$C$99</f>
        <v>1.25</v>
      </c>
      <c r="M68" s="345">
        <f>'Assumptions - General'!$C$99</f>
        <v>1.25</v>
      </c>
      <c r="N68" s="397"/>
      <c r="O68" s="337"/>
    </row>
    <row r="69" spans="2:15">
      <c r="B69" s="340"/>
      <c r="C69" s="341"/>
      <c r="D69" s="336" t="s">
        <v>218</v>
      </c>
      <c r="E69" s="28" t="s">
        <v>219</v>
      </c>
      <c r="F69" s="367">
        <f>F65*F67*F68</f>
        <v>0</v>
      </c>
      <c r="G69" s="367">
        <f>G65*G67*G68</f>
        <v>0</v>
      </c>
      <c r="H69" s="367">
        <f>H65*H67*H68</f>
        <v>0</v>
      </c>
      <c r="I69" s="367">
        <f t="shared" ref="I69:L69" si="31">I65*I67*I68</f>
        <v>0</v>
      </c>
      <c r="J69" s="367">
        <f t="shared" si="31"/>
        <v>0</v>
      </c>
      <c r="K69" s="367">
        <f t="shared" si="31"/>
        <v>0</v>
      </c>
      <c r="L69" s="367">
        <f t="shared" si="31"/>
        <v>0</v>
      </c>
      <c r="M69" s="367">
        <f>M65*M67*M68</f>
        <v>0</v>
      </c>
      <c r="N69" s="397"/>
      <c r="O69" s="337"/>
    </row>
    <row r="70" spans="2:15">
      <c r="B70" s="340"/>
      <c r="C70" s="341"/>
      <c r="D70" s="336" t="s">
        <v>220</v>
      </c>
      <c r="E70" s="28" t="s">
        <v>221</v>
      </c>
      <c r="F70" s="367">
        <f t="shared" ref="F70:M70" si="32">F69*Soil_density_sand</f>
        <v>0</v>
      </c>
      <c r="G70" s="367">
        <f t="shared" si="32"/>
        <v>0</v>
      </c>
      <c r="H70" s="367">
        <f t="shared" si="32"/>
        <v>0</v>
      </c>
      <c r="I70" s="367">
        <f t="shared" si="32"/>
        <v>0</v>
      </c>
      <c r="J70" s="367">
        <f t="shared" si="32"/>
        <v>0</v>
      </c>
      <c r="K70" s="367">
        <f t="shared" si="32"/>
        <v>0</v>
      </c>
      <c r="L70" s="367">
        <f t="shared" si="32"/>
        <v>0</v>
      </c>
      <c r="M70" s="367">
        <f t="shared" si="32"/>
        <v>0</v>
      </c>
      <c r="N70" s="397"/>
      <c r="O70" s="337"/>
    </row>
    <row r="71" spans="2:15">
      <c r="B71" s="340"/>
      <c r="C71" s="341"/>
      <c r="D71" s="336" t="s">
        <v>222</v>
      </c>
      <c r="E71" s="28" t="s">
        <v>223</v>
      </c>
      <c r="F71" s="403">
        <v>0.5</v>
      </c>
      <c r="G71" s="403">
        <v>0.5</v>
      </c>
      <c r="H71" s="403">
        <v>0.5</v>
      </c>
      <c r="I71" s="403">
        <v>0.5</v>
      </c>
      <c r="J71" s="403">
        <v>0.5</v>
      </c>
      <c r="K71" s="403">
        <v>0.5</v>
      </c>
      <c r="L71" s="403">
        <v>0.5</v>
      </c>
      <c r="M71" s="403">
        <v>0.5</v>
      </c>
      <c r="N71" s="397"/>
      <c r="O71" s="337"/>
    </row>
    <row r="72" spans="2:15">
      <c r="B72" s="340"/>
      <c r="C72" s="341"/>
      <c r="D72" s="336" t="s">
        <v>224</v>
      </c>
      <c r="E72" s="28" t="s">
        <v>219</v>
      </c>
      <c r="F72" s="367">
        <f>F69*F71</f>
        <v>0</v>
      </c>
      <c r="G72" s="367">
        <f t="shared" ref="G72:M72" si="33">G69*G71</f>
        <v>0</v>
      </c>
      <c r="H72" s="367">
        <f t="shared" si="33"/>
        <v>0</v>
      </c>
      <c r="I72" s="367">
        <f t="shared" si="33"/>
        <v>0</v>
      </c>
      <c r="J72" s="367">
        <f t="shared" si="33"/>
        <v>0</v>
      </c>
      <c r="K72" s="367">
        <f t="shared" si="33"/>
        <v>0</v>
      </c>
      <c r="L72" s="367">
        <f t="shared" si="33"/>
        <v>0</v>
      </c>
      <c r="M72" s="367">
        <f t="shared" si="33"/>
        <v>0</v>
      </c>
      <c r="N72" s="397"/>
      <c r="O72" s="337"/>
    </row>
    <row r="73" spans="2:15">
      <c r="B73" s="343"/>
      <c r="C73" s="341"/>
      <c r="D73" s="336" t="s">
        <v>225</v>
      </c>
      <c r="E73" s="28" t="s">
        <v>219</v>
      </c>
      <c r="F73" s="367">
        <f>F69-F72</f>
        <v>0</v>
      </c>
      <c r="G73" s="367">
        <f t="shared" ref="G73:M73" si="34">G69-G72</f>
        <v>0</v>
      </c>
      <c r="H73" s="367">
        <f t="shared" si="34"/>
        <v>0</v>
      </c>
      <c r="I73" s="367">
        <f t="shared" si="34"/>
        <v>0</v>
      </c>
      <c r="J73" s="367">
        <f t="shared" si="34"/>
        <v>0</v>
      </c>
      <c r="K73" s="367">
        <f t="shared" si="34"/>
        <v>0</v>
      </c>
      <c r="L73" s="367">
        <f t="shared" si="34"/>
        <v>0</v>
      </c>
      <c r="M73" s="367">
        <f t="shared" si="34"/>
        <v>0</v>
      </c>
      <c r="N73" s="397"/>
      <c r="O73" s="337"/>
    </row>
    <row r="74" spans="2:15">
      <c r="B74" s="338" t="s">
        <v>226</v>
      </c>
      <c r="C74" s="341"/>
      <c r="D74" s="346" t="s">
        <v>227</v>
      </c>
      <c r="E74" s="28" t="s">
        <v>228</v>
      </c>
      <c r="F74" s="342">
        <f t="shared" ref="F74:M74" si="35">Shaft_backfill_rate_R</f>
        <v>65</v>
      </c>
      <c r="G74" s="342">
        <f t="shared" si="35"/>
        <v>65</v>
      </c>
      <c r="H74" s="342">
        <f t="shared" si="35"/>
        <v>65</v>
      </c>
      <c r="I74" s="342">
        <f t="shared" si="35"/>
        <v>65</v>
      </c>
      <c r="J74" s="342">
        <f t="shared" si="35"/>
        <v>65</v>
      </c>
      <c r="K74" s="342">
        <f t="shared" si="35"/>
        <v>65</v>
      </c>
      <c r="L74" s="342">
        <f t="shared" si="35"/>
        <v>65</v>
      </c>
      <c r="M74" s="342">
        <f t="shared" si="35"/>
        <v>65</v>
      </c>
      <c r="N74" s="397"/>
      <c r="O74" s="337"/>
    </row>
    <row r="75" spans="2:15">
      <c r="B75" s="340"/>
      <c r="C75" s="341"/>
      <c r="D75" s="346" t="s">
        <v>229</v>
      </c>
      <c r="E75" s="28" t="s">
        <v>228</v>
      </c>
      <c r="F75" s="414"/>
      <c r="G75" s="414"/>
      <c r="H75" s="414"/>
      <c r="I75" s="414"/>
      <c r="J75" s="414"/>
      <c r="K75" s="414"/>
      <c r="L75" s="414"/>
      <c r="M75" s="414"/>
      <c r="N75" s="397"/>
      <c r="O75" s="337"/>
    </row>
    <row r="76" spans="2:15">
      <c r="B76" s="343"/>
      <c r="C76" s="341"/>
      <c r="D76" s="346" t="s">
        <v>230</v>
      </c>
      <c r="E76" s="28" t="s">
        <v>207</v>
      </c>
      <c r="F76" s="344">
        <f t="shared" ref="F76:M76" si="36">F73*Soil_density_sand*IF(F75="",F74,F75)</f>
        <v>0</v>
      </c>
      <c r="G76" s="344">
        <f t="shared" si="36"/>
        <v>0</v>
      </c>
      <c r="H76" s="344">
        <f t="shared" si="36"/>
        <v>0</v>
      </c>
      <c r="I76" s="344">
        <f t="shared" si="36"/>
        <v>0</v>
      </c>
      <c r="J76" s="344">
        <f t="shared" si="36"/>
        <v>0</v>
      </c>
      <c r="K76" s="344">
        <f t="shared" si="36"/>
        <v>0</v>
      </c>
      <c r="L76" s="344">
        <f t="shared" si="36"/>
        <v>0</v>
      </c>
      <c r="M76" s="344">
        <f t="shared" si="36"/>
        <v>0</v>
      </c>
      <c r="N76" s="397"/>
      <c r="O76" s="337"/>
    </row>
    <row r="77" spans="2:15">
      <c r="B77" s="338" t="s">
        <v>231</v>
      </c>
      <c r="C77" s="341"/>
      <c r="D77" s="336" t="s">
        <v>232</v>
      </c>
      <c r="E77" s="28" t="s">
        <v>123</v>
      </c>
      <c r="F77" s="404" t="s">
        <v>251</v>
      </c>
      <c r="G77" s="404" t="s">
        <v>251</v>
      </c>
      <c r="H77" s="404" t="s">
        <v>251</v>
      </c>
      <c r="I77" s="404" t="s">
        <v>251</v>
      </c>
      <c r="J77" s="404" t="s">
        <v>251</v>
      </c>
      <c r="K77" s="404" t="s">
        <v>251</v>
      </c>
      <c r="L77" s="404" t="s">
        <v>251</v>
      </c>
      <c r="M77" s="404" t="s">
        <v>251</v>
      </c>
      <c r="N77" s="397"/>
      <c r="O77" s="337"/>
    </row>
    <row r="78" spans="2:15">
      <c r="B78" s="340"/>
      <c r="C78" s="341"/>
      <c r="D78" s="346" t="s">
        <v>227</v>
      </c>
      <c r="E78" s="28" t="s">
        <v>234</v>
      </c>
      <c r="F78" s="342">
        <f t="shared" ref="F78:M78" si="37">_xlfn.XLOOKUP(F77,Long_haul_soil_amend_names_mass_CS,Long_haul_soil_amend_rates_mass_CS)</f>
        <v>0.11943528415573579</v>
      </c>
      <c r="G78" s="342">
        <f t="shared" si="37"/>
        <v>0.11943528415573579</v>
      </c>
      <c r="H78" s="342">
        <f t="shared" si="37"/>
        <v>0.11943528415573579</v>
      </c>
      <c r="I78" s="342">
        <f t="shared" si="37"/>
        <v>0.11943528415573579</v>
      </c>
      <c r="J78" s="342">
        <f t="shared" si="37"/>
        <v>0.11943528415573579</v>
      </c>
      <c r="K78" s="342">
        <f t="shared" si="37"/>
        <v>0.11943528415573579</v>
      </c>
      <c r="L78" s="342">
        <f t="shared" si="37"/>
        <v>0.11943528415573579</v>
      </c>
      <c r="M78" s="342">
        <f t="shared" si="37"/>
        <v>0.11943528415573579</v>
      </c>
      <c r="N78" s="397"/>
      <c r="O78" s="337"/>
    </row>
    <row r="79" spans="2:15">
      <c r="B79" s="340"/>
      <c r="C79" s="341"/>
      <c r="D79" s="346" t="s">
        <v>229</v>
      </c>
      <c r="E79" s="28" t="s">
        <v>234</v>
      </c>
      <c r="F79" s="414"/>
      <c r="G79" s="414"/>
      <c r="H79" s="414"/>
      <c r="I79" s="414"/>
      <c r="J79" s="414"/>
      <c r="K79" s="414"/>
      <c r="L79" s="414"/>
      <c r="M79" s="414"/>
      <c r="N79" s="397"/>
      <c r="O79" s="337"/>
    </row>
    <row r="80" spans="2:15">
      <c r="B80" s="343"/>
      <c r="C80" s="341"/>
      <c r="D80" s="346" t="s">
        <v>235</v>
      </c>
      <c r="E80" s="28" t="s">
        <v>236</v>
      </c>
      <c r="F80" s="344">
        <f t="shared" ref="F80:M80" si="38">F73*Soil_density_sand*_xlfn.XLOOKUP(F77,Long_haul_distance_names_L,Long_haul_distances_average_L)*IF(F79="",F78,F79)</f>
        <v>0</v>
      </c>
      <c r="G80" s="344">
        <f t="shared" si="38"/>
        <v>0</v>
      </c>
      <c r="H80" s="344">
        <f t="shared" si="38"/>
        <v>0</v>
      </c>
      <c r="I80" s="344">
        <f t="shared" si="38"/>
        <v>0</v>
      </c>
      <c r="J80" s="344">
        <f t="shared" si="38"/>
        <v>0</v>
      </c>
      <c r="K80" s="344">
        <f t="shared" si="38"/>
        <v>0</v>
      </c>
      <c r="L80" s="344">
        <f t="shared" si="38"/>
        <v>0</v>
      </c>
      <c r="M80" s="344">
        <f t="shared" si="38"/>
        <v>0</v>
      </c>
      <c r="N80" s="397"/>
      <c r="O80" s="337"/>
    </row>
    <row r="81" spans="2:15" ht="33.75">
      <c r="B81" s="338" t="s">
        <v>237</v>
      </c>
      <c r="C81" s="341"/>
      <c r="D81" s="336" t="s">
        <v>238</v>
      </c>
      <c r="E81" s="28" t="s">
        <v>123</v>
      </c>
      <c r="F81" s="405" t="s">
        <v>239</v>
      </c>
      <c r="G81" s="405" t="s">
        <v>239</v>
      </c>
      <c r="H81" s="405" t="s">
        <v>239</v>
      </c>
      <c r="I81" s="405" t="s">
        <v>239</v>
      </c>
      <c r="J81" s="405" t="s">
        <v>239</v>
      </c>
      <c r="K81" s="405" t="s">
        <v>239</v>
      </c>
      <c r="L81" s="405" t="s">
        <v>239</v>
      </c>
      <c r="M81" s="405" t="s">
        <v>239</v>
      </c>
      <c r="N81" s="397"/>
      <c r="O81" s="337" t="s">
        <v>240</v>
      </c>
    </row>
    <row r="82" spans="2:15">
      <c r="B82" s="340"/>
      <c r="C82" s="341"/>
      <c r="D82" s="346" t="s">
        <v>227</v>
      </c>
      <c r="E82" s="28" t="s">
        <v>241</v>
      </c>
      <c r="F82" s="342">
        <f t="shared" ref="F82:M82" si="39">_xlfn.XLOOKUP(F81,Load_haul_fill_names_CS,Load_haul_fill_rates_CS)</f>
        <v>7.5000815645944918</v>
      </c>
      <c r="G82" s="342">
        <f t="shared" si="39"/>
        <v>7.5000815645944918</v>
      </c>
      <c r="H82" s="342">
        <f t="shared" si="39"/>
        <v>7.5000815645944918</v>
      </c>
      <c r="I82" s="342">
        <f t="shared" si="39"/>
        <v>7.5000815645944918</v>
      </c>
      <c r="J82" s="342">
        <f t="shared" si="39"/>
        <v>7.5000815645944918</v>
      </c>
      <c r="K82" s="342">
        <f t="shared" si="39"/>
        <v>7.5000815645944918</v>
      </c>
      <c r="L82" s="342">
        <f t="shared" si="39"/>
        <v>7.5000815645944918</v>
      </c>
      <c r="M82" s="342">
        <f t="shared" si="39"/>
        <v>7.5000815645944918</v>
      </c>
      <c r="N82" s="397"/>
      <c r="O82" s="337"/>
    </row>
    <row r="83" spans="2:15">
      <c r="B83" s="340"/>
      <c r="C83" s="341"/>
      <c r="D83" s="346" t="s">
        <v>229</v>
      </c>
      <c r="E83" s="28" t="s">
        <v>241</v>
      </c>
      <c r="F83" s="414"/>
      <c r="G83" s="414"/>
      <c r="H83" s="414"/>
      <c r="I83" s="414"/>
      <c r="J83" s="414"/>
      <c r="K83" s="414"/>
      <c r="L83" s="414"/>
      <c r="M83" s="414"/>
      <c r="N83" s="397"/>
      <c r="O83" s="337"/>
    </row>
    <row r="84" spans="2:15">
      <c r="B84" s="343"/>
      <c r="C84" s="331"/>
      <c r="D84" s="346" t="s">
        <v>235</v>
      </c>
      <c r="E84" s="28" t="s">
        <v>207</v>
      </c>
      <c r="F84" s="344">
        <f>F69*IF(F83="",F82,F83)</f>
        <v>0</v>
      </c>
      <c r="G84" s="344">
        <f t="shared" ref="G84:M84" si="40">G69*IF(G83="",G82,G83)</f>
        <v>0</v>
      </c>
      <c r="H84" s="344">
        <f t="shared" si="40"/>
        <v>0</v>
      </c>
      <c r="I84" s="344">
        <f t="shared" si="40"/>
        <v>0</v>
      </c>
      <c r="J84" s="344">
        <f t="shared" si="40"/>
        <v>0</v>
      </c>
      <c r="K84" s="344">
        <f t="shared" si="40"/>
        <v>0</v>
      </c>
      <c r="L84" s="344">
        <f t="shared" si="40"/>
        <v>0</v>
      </c>
      <c r="M84" s="344">
        <f t="shared" si="40"/>
        <v>0</v>
      </c>
      <c r="N84" s="397"/>
      <c r="O84" s="337"/>
    </row>
    <row r="85" spans="2:15">
      <c r="B85" s="338" t="s">
        <v>242</v>
      </c>
      <c r="C85" s="339" t="s">
        <v>275</v>
      </c>
      <c r="D85" s="336" t="s">
        <v>244</v>
      </c>
      <c r="E85" s="28" t="s">
        <v>123</v>
      </c>
      <c r="F85" s="404" t="s">
        <v>132</v>
      </c>
      <c r="G85" s="404" t="s">
        <v>132</v>
      </c>
      <c r="H85" s="404" t="s">
        <v>132</v>
      </c>
      <c r="I85" s="404" t="s">
        <v>132</v>
      </c>
      <c r="J85" s="404" t="s">
        <v>132</v>
      </c>
      <c r="K85" s="404" t="s">
        <v>132</v>
      </c>
      <c r="L85" s="404" t="s">
        <v>132</v>
      </c>
      <c r="M85" s="404" t="s">
        <v>132</v>
      </c>
      <c r="N85" s="397"/>
      <c r="O85" s="337"/>
    </row>
    <row r="86" spans="2:15">
      <c r="B86" s="340"/>
      <c r="C86" s="341"/>
      <c r="D86" s="336" t="s">
        <v>245</v>
      </c>
      <c r="E86" s="28" t="s">
        <v>211</v>
      </c>
      <c r="F86" s="347">
        <f t="shared" ref="F86:M86" si="41">Concrete_plug_thickness</f>
        <v>3</v>
      </c>
      <c r="G86" s="347">
        <f t="shared" si="41"/>
        <v>3</v>
      </c>
      <c r="H86" s="347">
        <f t="shared" si="41"/>
        <v>3</v>
      </c>
      <c r="I86" s="347">
        <f t="shared" si="41"/>
        <v>3</v>
      </c>
      <c r="J86" s="347">
        <f t="shared" si="41"/>
        <v>3</v>
      </c>
      <c r="K86" s="347">
        <f t="shared" si="41"/>
        <v>3</v>
      </c>
      <c r="L86" s="347">
        <f t="shared" si="41"/>
        <v>3</v>
      </c>
      <c r="M86" s="347">
        <f t="shared" si="41"/>
        <v>3</v>
      </c>
      <c r="N86" s="397"/>
      <c r="O86" s="337"/>
    </row>
    <row r="87" spans="2:15">
      <c r="B87" s="340"/>
      <c r="C87" s="341"/>
      <c r="D87" s="336" t="s">
        <v>246</v>
      </c>
      <c r="E87" s="28" t="s">
        <v>219</v>
      </c>
      <c r="F87" s="367">
        <f t="shared" ref="F87:M87" si="42">IF(F85=No,0,F67*F86*(1+Grout_wastage_factor))</f>
        <v>0</v>
      </c>
      <c r="G87" s="367">
        <f t="shared" si="42"/>
        <v>0</v>
      </c>
      <c r="H87" s="367">
        <f t="shared" si="42"/>
        <v>0</v>
      </c>
      <c r="I87" s="367">
        <f t="shared" si="42"/>
        <v>0</v>
      </c>
      <c r="J87" s="367">
        <f t="shared" si="42"/>
        <v>0</v>
      </c>
      <c r="K87" s="367">
        <f t="shared" si="42"/>
        <v>0</v>
      </c>
      <c r="L87" s="367">
        <f t="shared" si="42"/>
        <v>0</v>
      </c>
      <c r="M87" s="367">
        <f t="shared" si="42"/>
        <v>0</v>
      </c>
      <c r="N87" s="397"/>
      <c r="O87" s="337"/>
    </row>
    <row r="88" spans="2:15">
      <c r="B88" s="340"/>
      <c r="C88" s="341"/>
      <c r="D88" s="346" t="s">
        <v>227</v>
      </c>
      <c r="E88" s="28" t="s">
        <v>241</v>
      </c>
      <c r="F88" s="342">
        <f t="shared" ref="F88:M88" si="43">IF(F85=No,0,Concrete_for_holes_rate)</f>
        <v>0</v>
      </c>
      <c r="G88" s="342">
        <f t="shared" si="43"/>
        <v>0</v>
      </c>
      <c r="H88" s="342">
        <f t="shared" si="43"/>
        <v>0</v>
      </c>
      <c r="I88" s="342">
        <f t="shared" si="43"/>
        <v>0</v>
      </c>
      <c r="J88" s="342">
        <f t="shared" si="43"/>
        <v>0</v>
      </c>
      <c r="K88" s="342">
        <f t="shared" si="43"/>
        <v>0</v>
      </c>
      <c r="L88" s="342">
        <f t="shared" si="43"/>
        <v>0</v>
      </c>
      <c r="M88" s="342">
        <f t="shared" si="43"/>
        <v>0</v>
      </c>
      <c r="N88" s="397"/>
      <c r="O88" s="337"/>
    </row>
    <row r="89" spans="2:15">
      <c r="B89" s="340"/>
      <c r="C89" s="341"/>
      <c r="D89" s="346" t="s">
        <v>229</v>
      </c>
      <c r="E89" s="28" t="s">
        <v>241</v>
      </c>
      <c r="F89" s="414"/>
      <c r="G89" s="414"/>
      <c r="H89" s="414"/>
      <c r="I89" s="414"/>
      <c r="J89" s="414"/>
      <c r="K89" s="414"/>
      <c r="L89" s="414"/>
      <c r="M89" s="414"/>
      <c r="N89" s="397"/>
      <c r="O89" s="337"/>
    </row>
    <row r="90" spans="2:15">
      <c r="B90" s="340"/>
      <c r="C90" s="341"/>
      <c r="D90" s="346" t="s">
        <v>249</v>
      </c>
      <c r="E90" s="28" t="s">
        <v>207</v>
      </c>
      <c r="F90" s="344">
        <f>F87*IF(F89="",F88,F89)</f>
        <v>0</v>
      </c>
      <c r="G90" s="344">
        <f>G87*IF(G89="",G88,G89)</f>
        <v>0</v>
      </c>
      <c r="H90" s="344">
        <f>H87*IF(H89="",H88,H89)</f>
        <v>0</v>
      </c>
      <c r="I90" s="344">
        <f t="shared" ref="I90:L90" si="44">I87*IF(I89="",I88,I89)</f>
        <v>0</v>
      </c>
      <c r="J90" s="344">
        <f t="shared" si="44"/>
        <v>0</v>
      </c>
      <c r="K90" s="344">
        <f t="shared" si="44"/>
        <v>0</v>
      </c>
      <c r="L90" s="344">
        <f t="shared" si="44"/>
        <v>0</v>
      </c>
      <c r="M90" s="344">
        <f>M87*IF(M89="",M88,M89)</f>
        <v>0</v>
      </c>
      <c r="N90" s="397"/>
      <c r="O90" s="337"/>
    </row>
    <row r="91" spans="2:15">
      <c r="B91" s="340"/>
      <c r="C91" s="341"/>
      <c r="D91" s="336" t="s">
        <v>250</v>
      </c>
      <c r="E91" s="28" t="s">
        <v>123</v>
      </c>
      <c r="F91" s="404" t="s">
        <v>251</v>
      </c>
      <c r="G91" s="404" t="s">
        <v>251</v>
      </c>
      <c r="H91" s="404" t="s">
        <v>251</v>
      </c>
      <c r="I91" s="404" t="s">
        <v>251</v>
      </c>
      <c r="J91" s="404" t="s">
        <v>251</v>
      </c>
      <c r="K91" s="404" t="s">
        <v>251</v>
      </c>
      <c r="L91" s="404" t="s">
        <v>251</v>
      </c>
      <c r="M91" s="404" t="s">
        <v>251</v>
      </c>
      <c r="N91" s="397"/>
      <c r="O91" s="337"/>
    </row>
    <row r="92" spans="2:15">
      <c r="B92" s="340"/>
      <c r="C92" s="341"/>
      <c r="D92" s="346" t="s">
        <v>227</v>
      </c>
      <c r="E92" s="28" t="s">
        <v>253</v>
      </c>
      <c r="F92" s="342">
        <f t="shared" ref="F92:M92" si="45">IF(F85=No,0,_xlfn.XLOOKUP(F91,Long_haul_concrete_plug_distances_CS,Long_haul_concrete_plug_rates_CS))</f>
        <v>0</v>
      </c>
      <c r="G92" s="342">
        <f t="shared" si="45"/>
        <v>0</v>
      </c>
      <c r="H92" s="342">
        <f t="shared" si="45"/>
        <v>0</v>
      </c>
      <c r="I92" s="342">
        <f t="shared" si="45"/>
        <v>0</v>
      </c>
      <c r="J92" s="342">
        <f t="shared" si="45"/>
        <v>0</v>
      </c>
      <c r="K92" s="342">
        <f t="shared" si="45"/>
        <v>0</v>
      </c>
      <c r="L92" s="342">
        <f t="shared" si="45"/>
        <v>0</v>
      </c>
      <c r="M92" s="342">
        <f t="shared" si="45"/>
        <v>0</v>
      </c>
      <c r="N92" s="397"/>
      <c r="O92" s="337"/>
    </row>
    <row r="93" spans="2:15">
      <c r="B93" s="340"/>
      <c r="C93" s="341"/>
      <c r="D93" s="346" t="s">
        <v>229</v>
      </c>
      <c r="E93" s="28" t="s">
        <v>253</v>
      </c>
      <c r="F93" s="414"/>
      <c r="G93" s="414"/>
      <c r="H93" s="414"/>
      <c r="I93" s="414"/>
      <c r="J93" s="414"/>
      <c r="K93" s="414"/>
      <c r="L93" s="414"/>
      <c r="M93" s="414"/>
      <c r="N93" s="397"/>
      <c r="O93" s="337"/>
    </row>
    <row r="94" spans="2:15">
      <c r="B94" s="340"/>
      <c r="C94" s="341"/>
      <c r="D94" s="346" t="s">
        <v>255</v>
      </c>
      <c r="E94" s="28" t="s">
        <v>236</v>
      </c>
      <c r="F94" s="348">
        <f t="shared" ref="F94:M94" si="46">F87*_xlfn.XLOOKUP(F91,Long_haul_distance_names_L,Long_haul_distances_average_L)*IF(F93="",F92,F93)</f>
        <v>0</v>
      </c>
      <c r="G94" s="348">
        <f t="shared" si="46"/>
        <v>0</v>
      </c>
      <c r="H94" s="348">
        <f t="shared" si="46"/>
        <v>0</v>
      </c>
      <c r="I94" s="348">
        <f t="shared" si="46"/>
        <v>0</v>
      </c>
      <c r="J94" s="348">
        <f t="shared" si="46"/>
        <v>0</v>
      </c>
      <c r="K94" s="348">
        <f t="shared" si="46"/>
        <v>0</v>
      </c>
      <c r="L94" s="348">
        <f t="shared" si="46"/>
        <v>0</v>
      </c>
      <c r="M94" s="348">
        <f t="shared" si="46"/>
        <v>0</v>
      </c>
      <c r="N94" s="397"/>
      <c r="O94" s="337"/>
    </row>
    <row r="95" spans="2:15">
      <c r="B95" s="340"/>
      <c r="C95" s="341"/>
      <c r="D95" s="346" t="s">
        <v>227</v>
      </c>
      <c r="E95" s="28" t="s">
        <v>257</v>
      </c>
      <c r="F95" s="342">
        <f>'Cost Schedule'!$D$992</f>
        <v>2636.8438650738854</v>
      </c>
      <c r="G95" s="342">
        <f>'Cost Schedule'!$D$992</f>
        <v>2636.8438650738854</v>
      </c>
      <c r="H95" s="342">
        <f>'Cost Schedule'!$D$992</f>
        <v>2636.8438650738854</v>
      </c>
      <c r="I95" s="342">
        <f>'Cost Schedule'!$D$992</f>
        <v>2636.8438650738854</v>
      </c>
      <c r="J95" s="342">
        <f>'Cost Schedule'!$D$992</f>
        <v>2636.8438650738854</v>
      </c>
      <c r="K95" s="342">
        <f>'Cost Schedule'!$D$992</f>
        <v>2636.8438650738854</v>
      </c>
      <c r="L95" s="342">
        <f>'Cost Schedule'!$D$992</f>
        <v>2636.8438650738854</v>
      </c>
      <c r="M95" s="342">
        <f>'Cost Schedule'!$D$992</f>
        <v>2636.8438650738854</v>
      </c>
      <c r="N95" s="397"/>
      <c r="O95" s="337"/>
    </row>
    <row r="96" spans="2:15">
      <c r="B96" s="340"/>
      <c r="C96" s="341"/>
      <c r="D96" s="346" t="s">
        <v>227</v>
      </c>
      <c r="E96" s="28" t="s">
        <v>259</v>
      </c>
      <c r="F96" s="342">
        <f>F95*F67</f>
        <v>0</v>
      </c>
      <c r="G96" s="342">
        <f>G95*G67</f>
        <v>0</v>
      </c>
      <c r="H96" s="342">
        <f>H95*H67</f>
        <v>0</v>
      </c>
      <c r="I96" s="342">
        <f t="shared" ref="I96:L96" si="47">I95*I67</f>
        <v>0</v>
      </c>
      <c r="J96" s="342">
        <f t="shared" si="47"/>
        <v>0</v>
      </c>
      <c r="K96" s="342">
        <f t="shared" si="47"/>
        <v>0</v>
      </c>
      <c r="L96" s="342">
        <f t="shared" si="47"/>
        <v>0</v>
      </c>
      <c r="M96" s="342">
        <f>M95*M67</f>
        <v>0</v>
      </c>
      <c r="N96" s="397"/>
      <c r="O96" s="337"/>
    </row>
    <row r="97" spans="2:15">
      <c r="B97" s="340"/>
      <c r="C97" s="341"/>
      <c r="D97" s="346" t="s">
        <v>229</v>
      </c>
      <c r="E97" s="28" t="s">
        <v>259</v>
      </c>
      <c r="F97" s="414"/>
      <c r="G97" s="414"/>
      <c r="H97" s="414"/>
      <c r="I97" s="414"/>
      <c r="J97" s="414"/>
      <c r="K97" s="414"/>
      <c r="L97" s="414"/>
      <c r="M97" s="414"/>
      <c r="N97" s="397"/>
      <c r="O97" s="337"/>
    </row>
    <row r="98" spans="2:15">
      <c r="B98" s="343"/>
      <c r="C98" s="331"/>
      <c r="D98" s="346" t="s">
        <v>235</v>
      </c>
      <c r="E98" s="28" t="s">
        <v>207</v>
      </c>
      <c r="F98" s="344">
        <f>IF(F97="",F96,F97)</f>
        <v>0</v>
      </c>
      <c r="G98" s="344">
        <f>IF(G97="",G96,G97)</f>
        <v>0</v>
      </c>
      <c r="H98" s="344">
        <f>IF(H97="",H96,H97)</f>
        <v>0</v>
      </c>
      <c r="I98" s="344">
        <f t="shared" ref="I98:L98" si="48">IF(I97="",I96,I97)</f>
        <v>0</v>
      </c>
      <c r="J98" s="344">
        <f t="shared" si="48"/>
        <v>0</v>
      </c>
      <c r="K98" s="344">
        <f t="shared" si="48"/>
        <v>0</v>
      </c>
      <c r="L98" s="344">
        <f t="shared" si="48"/>
        <v>0</v>
      </c>
      <c r="M98" s="344">
        <f>IF(M97="",M96,M97)</f>
        <v>0</v>
      </c>
      <c r="N98" s="397"/>
      <c r="O98" s="337"/>
    </row>
    <row r="99" spans="2:15">
      <c r="B99" s="338" t="s">
        <v>261</v>
      </c>
      <c r="C99" s="339" t="s">
        <v>276</v>
      </c>
      <c r="D99" s="346" t="s">
        <v>277</v>
      </c>
      <c r="E99" s="28" t="s">
        <v>123</v>
      </c>
      <c r="F99" s="404" t="s">
        <v>132</v>
      </c>
      <c r="G99" s="404" t="s">
        <v>132</v>
      </c>
      <c r="H99" s="404" t="s">
        <v>132</v>
      </c>
      <c r="I99" s="404" t="s">
        <v>132</v>
      </c>
      <c r="J99" s="404" t="s">
        <v>132</v>
      </c>
      <c r="K99" s="404" t="s">
        <v>132</v>
      </c>
      <c r="L99" s="404" t="s">
        <v>132</v>
      </c>
      <c r="M99" s="404" t="s">
        <v>132</v>
      </c>
      <c r="N99" s="397"/>
      <c r="O99" s="337"/>
    </row>
    <row r="100" spans="2:15">
      <c r="B100" s="340"/>
      <c r="C100" s="341"/>
      <c r="D100" s="346" t="s">
        <v>227</v>
      </c>
      <c r="E100" s="28" t="s">
        <v>278</v>
      </c>
      <c r="F100" s="342">
        <f>IF(F99=No,0,'Cost Schedule'!$D$1001)</f>
        <v>0</v>
      </c>
      <c r="G100" s="342">
        <f>IF(G99=No,0,'Cost Schedule'!$D$1001)</f>
        <v>0</v>
      </c>
      <c r="H100" s="342">
        <f>IF(H99=No,0,'Cost Schedule'!$D$1001)</f>
        <v>0</v>
      </c>
      <c r="I100" s="342">
        <f>IF(I99=No,0,'Cost Schedule'!$D$1001)</f>
        <v>0</v>
      </c>
      <c r="J100" s="342">
        <f>IF(J99=No,0,'Cost Schedule'!$D$1001)</f>
        <v>0</v>
      </c>
      <c r="K100" s="342">
        <f>IF(K99=No,0,'Cost Schedule'!$D$1001)</f>
        <v>0</v>
      </c>
      <c r="L100" s="342">
        <f>IF(L99=No,0,'Cost Schedule'!$D$1001)</f>
        <v>0</v>
      </c>
      <c r="M100" s="342">
        <f>IF(M99=No,0,'Cost Schedule'!$D$1001)</f>
        <v>0</v>
      </c>
      <c r="N100" s="397"/>
      <c r="O100" s="337"/>
    </row>
    <row r="101" spans="2:15">
      <c r="B101" s="340"/>
      <c r="C101" s="341"/>
      <c r="D101" s="346" t="s">
        <v>229</v>
      </c>
      <c r="E101" s="28" t="s">
        <v>278</v>
      </c>
      <c r="F101" s="414"/>
      <c r="G101" s="414"/>
      <c r="H101" s="414"/>
      <c r="I101" s="414"/>
      <c r="J101" s="414"/>
      <c r="K101" s="414"/>
      <c r="L101" s="414"/>
      <c r="M101" s="414"/>
      <c r="N101" s="397"/>
      <c r="O101" s="337"/>
    </row>
    <row r="102" spans="2:15">
      <c r="B102" s="343"/>
      <c r="C102" s="331"/>
      <c r="D102" s="346" t="s">
        <v>146</v>
      </c>
      <c r="E102" s="28" t="s">
        <v>207</v>
      </c>
      <c r="F102" s="344">
        <f>IF(F101="",F100,F101)</f>
        <v>0</v>
      </c>
      <c r="G102" s="344">
        <f>IF(G101="",G100,G101)</f>
        <v>0</v>
      </c>
      <c r="H102" s="344">
        <f>IF(H101="",H100,H101)</f>
        <v>0</v>
      </c>
      <c r="I102" s="344">
        <f t="shared" ref="I102:L102" si="49">IF(I101="",I100,I101)</f>
        <v>0</v>
      </c>
      <c r="J102" s="344">
        <f t="shared" si="49"/>
        <v>0</v>
      </c>
      <c r="K102" s="344">
        <f t="shared" si="49"/>
        <v>0</v>
      </c>
      <c r="L102" s="344">
        <f t="shared" si="49"/>
        <v>0</v>
      </c>
      <c r="M102" s="344">
        <f>IF(M101="",M100,M101)</f>
        <v>0</v>
      </c>
      <c r="N102" s="397"/>
      <c r="O102" s="337"/>
    </row>
    <row r="103" spans="2:15">
      <c r="B103" s="357"/>
      <c r="C103" s="358"/>
      <c r="D103" s="359" t="str">
        <f>B60</f>
        <v>Rehabilitate Hoisting Shafts</v>
      </c>
      <c r="E103" s="360" t="s">
        <v>259</v>
      </c>
      <c r="F103" s="368">
        <f>F64+F76+F80+F84+F90+F94+F98+F102</f>
        <v>0</v>
      </c>
      <c r="G103" s="368">
        <f t="shared" ref="G103:M103" si="50">G64+G76+G80+G84+G90+G94+G98+G102</f>
        <v>0</v>
      </c>
      <c r="H103" s="368">
        <f t="shared" si="50"/>
        <v>0</v>
      </c>
      <c r="I103" s="368">
        <f t="shared" ref="I103:L103" si="51">I64+I76+I80+I84+I90+I94+I98+I102</f>
        <v>0</v>
      </c>
      <c r="J103" s="368">
        <f t="shared" si="51"/>
        <v>0</v>
      </c>
      <c r="K103" s="368">
        <f t="shared" si="51"/>
        <v>0</v>
      </c>
      <c r="L103" s="368">
        <f t="shared" si="51"/>
        <v>0</v>
      </c>
      <c r="M103" s="368">
        <f t="shared" si="50"/>
        <v>0</v>
      </c>
      <c r="N103" s="397"/>
      <c r="O103" s="337"/>
    </row>
    <row r="104" spans="2:15" ht="12" thickBot="1">
      <c r="B104" s="362"/>
      <c r="C104" s="363"/>
      <c r="D104" s="364" t="str">
        <f>B60</f>
        <v>Rehabilitate Hoisting Shafts</v>
      </c>
      <c r="E104" s="62" t="s">
        <v>268</v>
      </c>
      <c r="F104" s="365">
        <f>F103*F60</f>
        <v>0</v>
      </c>
      <c r="G104" s="365">
        <f>G103*G60</f>
        <v>0</v>
      </c>
      <c r="H104" s="365">
        <f>H103*H60</f>
        <v>0</v>
      </c>
      <c r="I104" s="365">
        <f t="shared" ref="I104:L104" si="52">I103*I60</f>
        <v>0</v>
      </c>
      <c r="J104" s="365">
        <f t="shared" si="52"/>
        <v>0</v>
      </c>
      <c r="K104" s="365">
        <f t="shared" si="52"/>
        <v>0</v>
      </c>
      <c r="L104" s="365">
        <f t="shared" si="52"/>
        <v>0</v>
      </c>
      <c r="M104" s="365">
        <f>M103*M60</f>
        <v>0</v>
      </c>
      <c r="N104" s="397"/>
      <c r="O104" s="337"/>
    </row>
    <row r="105" spans="2:15" ht="12" thickTop="1">
      <c r="B105" s="357"/>
      <c r="C105" s="358"/>
      <c r="D105" s="359" t="str">
        <f>B60</f>
        <v>Rehabilitate Hoisting Shafts</v>
      </c>
      <c r="E105" s="360" t="s">
        <v>269</v>
      </c>
      <c r="F105" s="368" t="str">
        <f>IF(F103=0,"No shafts",IF(F65=0,"No depth",F103/F65))</f>
        <v>No shafts</v>
      </c>
      <c r="G105" s="368" t="str">
        <f t="shared" ref="G105:M105" si="53">IF(G103=0,"No shafts",IF(G65=0,"No depth",G103/G65))</f>
        <v>No shafts</v>
      </c>
      <c r="H105" s="368" t="str">
        <f t="shared" si="53"/>
        <v>No shafts</v>
      </c>
      <c r="I105" s="368" t="str">
        <f t="shared" si="53"/>
        <v>No shafts</v>
      </c>
      <c r="J105" s="368" t="str">
        <f t="shared" si="53"/>
        <v>No shafts</v>
      </c>
      <c r="K105" s="368" t="str">
        <f t="shared" si="53"/>
        <v>No shafts</v>
      </c>
      <c r="L105" s="368" t="str">
        <f t="shared" si="53"/>
        <v>No shafts</v>
      </c>
      <c r="M105" s="368" t="str">
        <f t="shared" si="53"/>
        <v>No shafts</v>
      </c>
      <c r="N105" s="397"/>
      <c r="O105" s="337"/>
    </row>
    <row r="106" spans="2:15">
      <c r="B106" s="369" t="s">
        <v>279</v>
      </c>
      <c r="C106" s="346"/>
      <c r="D106" s="370"/>
      <c r="F106" s="28"/>
      <c r="G106" s="28"/>
      <c r="H106" s="28"/>
      <c r="I106" s="28"/>
      <c r="J106" s="28"/>
      <c r="K106" s="28"/>
      <c r="L106" s="28"/>
      <c r="M106" s="28"/>
      <c r="N106" s="397"/>
      <c r="O106" s="337"/>
    </row>
    <row r="107" spans="2:15">
      <c r="B107" s="338" t="s">
        <v>280</v>
      </c>
      <c r="C107" s="339" t="s">
        <v>281</v>
      </c>
      <c r="D107" s="336" t="s">
        <v>202</v>
      </c>
      <c r="E107" s="28" t="s">
        <v>282</v>
      </c>
      <c r="F107" s="406"/>
      <c r="G107" s="406"/>
      <c r="H107" s="406"/>
      <c r="I107" s="406"/>
      <c r="J107" s="406"/>
      <c r="K107" s="406"/>
      <c r="L107" s="406"/>
      <c r="M107" s="406"/>
      <c r="N107" s="397"/>
      <c r="O107" s="337"/>
    </row>
    <row r="108" spans="2:15">
      <c r="B108" s="340"/>
      <c r="C108" s="341"/>
      <c r="D108" s="336" t="s">
        <v>204</v>
      </c>
      <c r="E108" s="28" t="s">
        <v>283</v>
      </c>
      <c r="F108" s="342">
        <f>'Cost Schedule'!$D$1000</f>
        <v>218545.4</v>
      </c>
      <c r="G108" s="342">
        <f>'Cost Schedule'!$D$1000</f>
        <v>218545.4</v>
      </c>
      <c r="H108" s="342">
        <f>'Cost Schedule'!$D$1000</f>
        <v>218545.4</v>
      </c>
      <c r="I108" s="342">
        <f>'Cost Schedule'!$D$1000</f>
        <v>218545.4</v>
      </c>
      <c r="J108" s="342">
        <f>'Cost Schedule'!$D$1000</f>
        <v>218545.4</v>
      </c>
      <c r="K108" s="342">
        <f>'Cost Schedule'!$D$1000</f>
        <v>218545.4</v>
      </c>
      <c r="L108" s="342">
        <f>'Cost Schedule'!$D$1000</f>
        <v>218545.4</v>
      </c>
      <c r="M108" s="342">
        <f>'Cost Schedule'!$D$1000</f>
        <v>218545.4</v>
      </c>
      <c r="N108" s="397"/>
      <c r="O108" s="337"/>
    </row>
    <row r="109" spans="2:15">
      <c r="B109" s="340"/>
      <c r="C109" s="341"/>
      <c r="D109" s="336" t="s">
        <v>206</v>
      </c>
      <c r="E109" s="28" t="s">
        <v>283</v>
      </c>
      <c r="F109" s="414"/>
      <c r="G109" s="414"/>
      <c r="H109" s="414"/>
      <c r="I109" s="414"/>
      <c r="J109" s="414"/>
      <c r="K109" s="414"/>
      <c r="L109" s="414"/>
      <c r="M109" s="414"/>
      <c r="N109" s="397"/>
      <c r="O109" s="337"/>
    </row>
    <row r="110" spans="2:15">
      <c r="B110" s="343"/>
      <c r="C110" s="331"/>
      <c r="D110" s="336" t="s">
        <v>146</v>
      </c>
      <c r="E110" s="28" t="s">
        <v>207</v>
      </c>
      <c r="F110" s="344">
        <f>F107*IF(F109="",F108,F109)</f>
        <v>0</v>
      </c>
      <c r="G110" s="344">
        <f>G107*IF(G109="",G108,G109)</f>
        <v>0</v>
      </c>
      <c r="H110" s="344">
        <f>H107*IF(H109="",H108,H109)</f>
        <v>0</v>
      </c>
      <c r="I110" s="344">
        <f t="shared" ref="I110:L110" si="54">I107*IF(I109="",I108,I109)</f>
        <v>0</v>
      </c>
      <c r="J110" s="344">
        <f t="shared" si="54"/>
        <v>0</v>
      </c>
      <c r="K110" s="344">
        <f t="shared" si="54"/>
        <v>0</v>
      </c>
      <c r="L110" s="344">
        <f t="shared" si="54"/>
        <v>0</v>
      </c>
      <c r="M110" s="344">
        <f>M107*IF(M109="",M108,M109)</f>
        <v>0</v>
      </c>
      <c r="N110" s="397"/>
      <c r="O110" s="337"/>
    </row>
    <row r="111" spans="2:15">
      <c r="B111" s="338" t="s">
        <v>284</v>
      </c>
      <c r="C111" s="339" t="s">
        <v>281</v>
      </c>
      <c r="D111" s="336" t="s">
        <v>285</v>
      </c>
      <c r="E111" s="28" t="s">
        <v>282</v>
      </c>
      <c r="F111" s="406"/>
      <c r="G111" s="406"/>
      <c r="H111" s="406"/>
      <c r="I111" s="406"/>
      <c r="J111" s="406"/>
      <c r="K111" s="406"/>
      <c r="L111" s="406"/>
      <c r="M111" s="406"/>
      <c r="N111" s="397"/>
      <c r="O111" s="337"/>
    </row>
    <row r="112" spans="2:15">
      <c r="B112" s="340"/>
      <c r="C112" s="341"/>
      <c r="D112" s="336" t="s">
        <v>204</v>
      </c>
      <c r="E112" s="28" t="s">
        <v>283</v>
      </c>
      <c r="F112" s="342">
        <f>'Cost Schedule'!$D$993</f>
        <v>29657.363562698574</v>
      </c>
      <c r="G112" s="342">
        <f>'Cost Schedule'!$D$993</f>
        <v>29657.363562698574</v>
      </c>
      <c r="H112" s="342">
        <f>'Cost Schedule'!$D$993</f>
        <v>29657.363562698574</v>
      </c>
      <c r="I112" s="342">
        <f>'Cost Schedule'!$D$993</f>
        <v>29657.363562698574</v>
      </c>
      <c r="J112" s="342">
        <f>'Cost Schedule'!$D$993</f>
        <v>29657.363562698574</v>
      </c>
      <c r="K112" s="342">
        <f>'Cost Schedule'!$D$993</f>
        <v>29657.363562698574</v>
      </c>
      <c r="L112" s="342">
        <f>'Cost Schedule'!$D$993</f>
        <v>29657.363562698574</v>
      </c>
      <c r="M112" s="342">
        <f>'Cost Schedule'!$D$993</f>
        <v>29657.363562698574</v>
      </c>
      <c r="N112" s="397"/>
      <c r="O112" s="337"/>
    </row>
    <row r="113" spans="2:15">
      <c r="B113" s="340"/>
      <c r="C113" s="341"/>
      <c r="D113" s="336" t="s">
        <v>206</v>
      </c>
      <c r="E113" s="28" t="s">
        <v>283</v>
      </c>
      <c r="F113" s="414"/>
      <c r="G113" s="414"/>
      <c r="H113" s="414"/>
      <c r="I113" s="414"/>
      <c r="J113" s="414"/>
      <c r="K113" s="414"/>
      <c r="L113" s="414"/>
      <c r="M113" s="414"/>
      <c r="N113" s="397"/>
      <c r="O113" s="337"/>
    </row>
    <row r="114" spans="2:15">
      <c r="B114" s="343"/>
      <c r="C114" s="331"/>
      <c r="D114" s="346" t="s">
        <v>146</v>
      </c>
      <c r="E114" s="28" t="s">
        <v>207</v>
      </c>
      <c r="F114" s="344">
        <f>F111*IF(F113="",F112,F113)</f>
        <v>0</v>
      </c>
      <c r="G114" s="344">
        <f>G111*IF(G113="",G112,G113)</f>
        <v>0</v>
      </c>
      <c r="H114" s="344">
        <f>H111*IF(H113="",H112,H113)</f>
        <v>0</v>
      </c>
      <c r="I114" s="344">
        <f t="shared" ref="I114:L114" si="55">I111*IF(I113="",I112,I113)</f>
        <v>0</v>
      </c>
      <c r="J114" s="344">
        <f t="shared" si="55"/>
        <v>0</v>
      </c>
      <c r="K114" s="344">
        <f t="shared" si="55"/>
        <v>0</v>
      </c>
      <c r="L114" s="344">
        <f t="shared" si="55"/>
        <v>0</v>
      </c>
      <c r="M114" s="344">
        <f>M111*IF(M113="",M112,M113)</f>
        <v>0</v>
      </c>
      <c r="N114" s="397"/>
      <c r="O114" s="337"/>
    </row>
    <row r="115" spans="2:15">
      <c r="B115" s="338" t="s">
        <v>286</v>
      </c>
      <c r="C115" s="339" t="s">
        <v>287</v>
      </c>
      <c r="D115" s="336" t="s">
        <v>285</v>
      </c>
      <c r="E115" s="28" t="s">
        <v>288</v>
      </c>
      <c r="F115" s="406"/>
      <c r="G115" s="406"/>
      <c r="H115" s="406"/>
      <c r="I115" s="406"/>
      <c r="J115" s="406"/>
      <c r="K115" s="406"/>
      <c r="L115" s="406"/>
      <c r="M115" s="406"/>
      <c r="N115" s="397"/>
      <c r="O115" s="337"/>
    </row>
    <row r="116" spans="2:15">
      <c r="B116" s="340"/>
      <c r="C116" s="341"/>
      <c r="D116" s="336" t="s">
        <v>204</v>
      </c>
      <c r="E116" s="28" t="s">
        <v>278</v>
      </c>
      <c r="F116" s="342">
        <f>'Cost Schedule'!$D$994</f>
        <v>138513.19953720269</v>
      </c>
      <c r="G116" s="342">
        <f>'Cost Schedule'!$D$994</f>
        <v>138513.19953720269</v>
      </c>
      <c r="H116" s="342">
        <f>'Cost Schedule'!$D$994</f>
        <v>138513.19953720269</v>
      </c>
      <c r="I116" s="342">
        <f>'Cost Schedule'!$D$994</f>
        <v>138513.19953720269</v>
      </c>
      <c r="J116" s="342">
        <f>'Cost Schedule'!$D$994</f>
        <v>138513.19953720269</v>
      </c>
      <c r="K116" s="342">
        <f>'Cost Schedule'!$D$994</f>
        <v>138513.19953720269</v>
      </c>
      <c r="L116" s="342">
        <f>'Cost Schedule'!$D$994</f>
        <v>138513.19953720269</v>
      </c>
      <c r="M116" s="342">
        <f>'Cost Schedule'!$D$994</f>
        <v>138513.19953720269</v>
      </c>
      <c r="N116" s="397"/>
      <c r="O116" s="337"/>
    </row>
    <row r="117" spans="2:15">
      <c r="B117" s="340"/>
      <c r="C117" s="371"/>
      <c r="D117" s="336" t="s">
        <v>206</v>
      </c>
      <c r="E117" s="28" t="s">
        <v>278</v>
      </c>
      <c r="F117" s="414"/>
      <c r="G117" s="414"/>
      <c r="H117" s="414"/>
      <c r="I117" s="414"/>
      <c r="J117" s="414"/>
      <c r="K117" s="414"/>
      <c r="L117" s="414"/>
      <c r="M117" s="414"/>
      <c r="N117" s="397"/>
      <c r="O117" s="337"/>
    </row>
    <row r="118" spans="2:15">
      <c r="B118" s="343"/>
      <c r="C118" s="341"/>
      <c r="D118" s="346" t="s">
        <v>146</v>
      </c>
      <c r="E118" s="28" t="s">
        <v>207</v>
      </c>
      <c r="F118" s="344">
        <f>F115*IF(F117="",F116,F117)</f>
        <v>0</v>
      </c>
      <c r="G118" s="344">
        <f>G115*IF(G117="",G116,G117)</f>
        <v>0</v>
      </c>
      <c r="H118" s="344">
        <f>H115*IF(H117="",H116,H117)</f>
        <v>0</v>
      </c>
      <c r="I118" s="344">
        <f t="shared" ref="I118:L118" si="56">I115*IF(I117="",I116,I117)</f>
        <v>0</v>
      </c>
      <c r="J118" s="344">
        <f t="shared" si="56"/>
        <v>0</v>
      </c>
      <c r="K118" s="344">
        <f t="shared" si="56"/>
        <v>0</v>
      </c>
      <c r="L118" s="344">
        <f t="shared" si="56"/>
        <v>0</v>
      </c>
      <c r="M118" s="344">
        <f>M115*IF(M117="",M116,M117)</f>
        <v>0</v>
      </c>
      <c r="N118" s="397"/>
      <c r="O118" s="337"/>
    </row>
    <row r="119" spans="2:15">
      <c r="B119" s="338" t="s">
        <v>289</v>
      </c>
      <c r="C119" s="341"/>
      <c r="D119" s="336" t="s">
        <v>285</v>
      </c>
      <c r="E119" s="28" t="s">
        <v>288</v>
      </c>
      <c r="F119" s="406"/>
      <c r="G119" s="406"/>
      <c r="H119" s="406"/>
      <c r="I119" s="406"/>
      <c r="J119" s="406"/>
      <c r="K119" s="406"/>
      <c r="L119" s="406"/>
      <c r="M119" s="406"/>
      <c r="N119" s="397"/>
      <c r="O119" s="337"/>
    </row>
    <row r="120" spans="2:15">
      <c r="B120" s="340"/>
      <c r="C120" s="341"/>
      <c r="D120" s="336" t="s">
        <v>204</v>
      </c>
      <c r="E120" s="28" t="s">
        <v>278</v>
      </c>
      <c r="F120" s="342">
        <f>'Cost Schedule'!$D$995</f>
        <v>275733.74040093599</v>
      </c>
      <c r="G120" s="342">
        <f>'Cost Schedule'!$D$995</f>
        <v>275733.74040093599</v>
      </c>
      <c r="H120" s="342">
        <f>'Cost Schedule'!$D$995</f>
        <v>275733.74040093599</v>
      </c>
      <c r="I120" s="342">
        <f>'Cost Schedule'!$D$995</f>
        <v>275733.74040093599</v>
      </c>
      <c r="J120" s="342">
        <f>'Cost Schedule'!$D$995</f>
        <v>275733.74040093599</v>
      </c>
      <c r="K120" s="342">
        <f>'Cost Schedule'!$D$995</f>
        <v>275733.74040093599</v>
      </c>
      <c r="L120" s="342">
        <f>'Cost Schedule'!$D$995</f>
        <v>275733.74040093599</v>
      </c>
      <c r="M120" s="342">
        <f>'Cost Schedule'!$D$995</f>
        <v>275733.74040093599</v>
      </c>
      <c r="N120" s="397"/>
      <c r="O120" s="337"/>
    </row>
    <row r="121" spans="2:15">
      <c r="B121" s="340"/>
      <c r="C121" s="341"/>
      <c r="D121" s="336" t="s">
        <v>206</v>
      </c>
      <c r="E121" s="28" t="s">
        <v>278</v>
      </c>
      <c r="F121" s="414"/>
      <c r="G121" s="414"/>
      <c r="H121" s="414"/>
      <c r="I121" s="414"/>
      <c r="J121" s="414"/>
      <c r="K121" s="414"/>
      <c r="L121" s="414"/>
      <c r="M121" s="414"/>
      <c r="N121" s="397"/>
      <c r="O121" s="337"/>
    </row>
    <row r="122" spans="2:15">
      <c r="B122" s="343"/>
      <c r="C122" s="331"/>
      <c r="D122" s="346" t="s">
        <v>146</v>
      </c>
      <c r="E122" s="28" t="s">
        <v>207</v>
      </c>
      <c r="F122" s="344">
        <f>F119*IF(F121="",F120,F121)</f>
        <v>0</v>
      </c>
      <c r="G122" s="344">
        <f>G119*IF(G121="",G120,G121)</f>
        <v>0</v>
      </c>
      <c r="H122" s="344">
        <f>H119*IF(H121="",H120,H121)</f>
        <v>0</v>
      </c>
      <c r="I122" s="344">
        <f t="shared" ref="I122:L122" si="57">I119*IF(I121="",I120,I121)</f>
        <v>0</v>
      </c>
      <c r="J122" s="344">
        <f t="shared" si="57"/>
        <v>0</v>
      </c>
      <c r="K122" s="344">
        <f t="shared" si="57"/>
        <v>0</v>
      </c>
      <c r="L122" s="344">
        <f t="shared" si="57"/>
        <v>0</v>
      </c>
      <c r="M122" s="344">
        <f>M119*IF(M121="",M120,M121)</f>
        <v>0</v>
      </c>
      <c r="N122" s="397"/>
      <c r="O122" s="337"/>
    </row>
    <row r="123" spans="2:15" ht="12" thickBot="1">
      <c r="B123" s="372"/>
      <c r="C123" s="373"/>
      <c r="D123" s="374" t="s">
        <v>290</v>
      </c>
      <c r="E123" s="62" t="s">
        <v>207</v>
      </c>
      <c r="F123" s="365">
        <f>F110+F114+F118+F122</f>
        <v>0</v>
      </c>
      <c r="G123" s="365">
        <f t="shared" ref="G123:M123" si="58">G110+G114+G118+G122</f>
        <v>0</v>
      </c>
      <c r="H123" s="365">
        <f t="shared" si="58"/>
        <v>0</v>
      </c>
      <c r="I123" s="365">
        <f t="shared" ref="I123:L123" si="59">I110+I114+I118+I122</f>
        <v>0</v>
      </c>
      <c r="J123" s="365">
        <f t="shared" si="59"/>
        <v>0</v>
      </c>
      <c r="K123" s="365">
        <f t="shared" si="59"/>
        <v>0</v>
      </c>
      <c r="L123" s="365">
        <f t="shared" si="59"/>
        <v>0</v>
      </c>
      <c r="M123" s="365">
        <f t="shared" si="58"/>
        <v>0</v>
      </c>
      <c r="N123" s="397"/>
      <c r="O123" s="337"/>
    </row>
    <row r="124" spans="2:15" ht="12" thickTop="1">
      <c r="B124" s="369" t="s">
        <v>291</v>
      </c>
      <c r="C124" s="346"/>
      <c r="D124" s="370"/>
      <c r="F124" s="28"/>
      <c r="G124" s="28"/>
      <c r="H124" s="28"/>
      <c r="I124" s="28"/>
      <c r="J124" s="28"/>
      <c r="K124" s="28"/>
      <c r="L124" s="28"/>
      <c r="M124" s="28"/>
      <c r="N124" s="397"/>
      <c r="O124" s="337"/>
    </row>
    <row r="125" spans="2:15">
      <c r="B125" s="338" t="s">
        <v>292</v>
      </c>
      <c r="C125" s="339" t="s">
        <v>291</v>
      </c>
      <c r="D125" s="336" t="s">
        <v>202</v>
      </c>
      <c r="E125" s="28" t="s">
        <v>211</v>
      </c>
      <c r="F125" s="406"/>
      <c r="G125" s="406"/>
      <c r="H125" s="406"/>
      <c r="I125" s="406"/>
      <c r="J125" s="406"/>
      <c r="K125" s="406"/>
      <c r="L125" s="406"/>
      <c r="M125" s="406"/>
      <c r="N125" s="397"/>
      <c r="O125" s="337"/>
    </row>
    <row r="126" spans="2:15">
      <c r="B126" s="340"/>
      <c r="C126" s="341"/>
      <c r="D126" s="336" t="s">
        <v>204</v>
      </c>
      <c r="E126" s="28" t="s">
        <v>293</v>
      </c>
      <c r="F126" s="342">
        <f>'Cost Schedule'!$D$996</f>
        <v>7591.56</v>
      </c>
      <c r="G126" s="342">
        <f>'Cost Schedule'!$D$996</f>
        <v>7591.56</v>
      </c>
      <c r="H126" s="342">
        <f>'Cost Schedule'!$D$996</f>
        <v>7591.56</v>
      </c>
      <c r="I126" s="342">
        <f>'Cost Schedule'!$D$996</f>
        <v>7591.56</v>
      </c>
      <c r="J126" s="342">
        <f>'Cost Schedule'!$D$996</f>
        <v>7591.56</v>
      </c>
      <c r="K126" s="342">
        <f>'Cost Schedule'!$D$996</f>
        <v>7591.56</v>
      </c>
      <c r="L126" s="342">
        <f>'Cost Schedule'!$D$996</f>
        <v>7591.56</v>
      </c>
      <c r="M126" s="342">
        <f>'Cost Schedule'!$D$996</f>
        <v>7591.56</v>
      </c>
      <c r="N126" s="397"/>
      <c r="O126" s="337"/>
    </row>
    <row r="127" spans="2:15">
      <c r="B127" s="340"/>
      <c r="C127" s="341"/>
      <c r="D127" s="336" t="s">
        <v>206</v>
      </c>
      <c r="E127" s="28" t="s">
        <v>293</v>
      </c>
      <c r="F127" s="414"/>
      <c r="G127" s="414"/>
      <c r="H127" s="414"/>
      <c r="I127" s="414"/>
      <c r="J127" s="414"/>
      <c r="K127" s="414"/>
      <c r="L127" s="414"/>
      <c r="M127" s="414"/>
      <c r="N127" s="397"/>
      <c r="O127" s="337"/>
    </row>
    <row r="128" spans="2:15">
      <c r="B128" s="343"/>
      <c r="C128" s="331"/>
      <c r="D128" s="336" t="s">
        <v>146</v>
      </c>
      <c r="E128" s="28" t="s">
        <v>207</v>
      </c>
      <c r="F128" s="344">
        <f>F125*IF(F127="",F126,F127)</f>
        <v>0</v>
      </c>
      <c r="G128" s="344">
        <f t="shared" ref="G128:M128" si="60">G125*IF(G127="",G126,G127)</f>
        <v>0</v>
      </c>
      <c r="H128" s="344">
        <f t="shared" si="60"/>
        <v>0</v>
      </c>
      <c r="I128" s="344">
        <f t="shared" ref="I128:L128" si="61">I125*IF(I127="",I126,I127)</f>
        <v>0</v>
      </c>
      <c r="J128" s="344">
        <f t="shared" si="61"/>
        <v>0</v>
      </c>
      <c r="K128" s="344">
        <f t="shared" si="61"/>
        <v>0</v>
      </c>
      <c r="L128" s="344">
        <f t="shared" si="61"/>
        <v>0</v>
      </c>
      <c r="M128" s="344">
        <f t="shared" si="60"/>
        <v>0</v>
      </c>
      <c r="N128" s="397"/>
      <c r="O128" s="337"/>
    </row>
    <row r="129" spans="2:15">
      <c r="B129" s="338" t="s">
        <v>294</v>
      </c>
      <c r="C129" s="339" t="s">
        <v>291</v>
      </c>
      <c r="D129" s="336" t="s">
        <v>285</v>
      </c>
      <c r="E129" s="28" t="s">
        <v>211</v>
      </c>
      <c r="F129" s="406"/>
      <c r="G129" s="406"/>
      <c r="H129" s="406"/>
      <c r="I129" s="406"/>
      <c r="J129" s="406"/>
      <c r="K129" s="406"/>
      <c r="L129" s="406"/>
      <c r="M129" s="406"/>
      <c r="N129" s="397"/>
      <c r="O129" s="337"/>
    </row>
    <row r="130" spans="2:15">
      <c r="B130" s="340"/>
      <c r="C130" s="341"/>
      <c r="D130" s="336" t="s">
        <v>204</v>
      </c>
      <c r="E130" s="28" t="s">
        <v>293</v>
      </c>
      <c r="F130" s="342">
        <f>'Cost Schedule'!$D$997</f>
        <v>10325.200000000001</v>
      </c>
      <c r="G130" s="342">
        <f>'Cost Schedule'!$D$997</f>
        <v>10325.200000000001</v>
      </c>
      <c r="H130" s="342">
        <f>'Cost Schedule'!$D$997</f>
        <v>10325.200000000001</v>
      </c>
      <c r="I130" s="342">
        <f>'Cost Schedule'!$D$997</f>
        <v>10325.200000000001</v>
      </c>
      <c r="J130" s="342">
        <f>'Cost Schedule'!$D$997</f>
        <v>10325.200000000001</v>
      </c>
      <c r="K130" s="342">
        <f>'Cost Schedule'!$D$997</f>
        <v>10325.200000000001</v>
      </c>
      <c r="L130" s="342">
        <f>'Cost Schedule'!$D$997</f>
        <v>10325.200000000001</v>
      </c>
      <c r="M130" s="342">
        <f>'Cost Schedule'!$D$997</f>
        <v>10325.200000000001</v>
      </c>
      <c r="N130" s="397"/>
      <c r="O130" s="337"/>
    </row>
    <row r="131" spans="2:15">
      <c r="B131" s="340"/>
      <c r="C131" s="341"/>
      <c r="D131" s="336" t="s">
        <v>206</v>
      </c>
      <c r="E131" s="28" t="s">
        <v>293</v>
      </c>
      <c r="F131" s="414"/>
      <c r="G131" s="414"/>
      <c r="H131" s="414"/>
      <c r="I131" s="414"/>
      <c r="J131" s="414"/>
      <c r="K131" s="414"/>
      <c r="L131" s="414"/>
      <c r="M131" s="414"/>
      <c r="N131" s="397"/>
      <c r="O131" s="337"/>
    </row>
    <row r="132" spans="2:15">
      <c r="B132" s="343"/>
      <c r="C132" s="331"/>
      <c r="D132" s="346" t="s">
        <v>146</v>
      </c>
      <c r="E132" s="28" t="s">
        <v>207</v>
      </c>
      <c r="F132" s="344">
        <f>F129*IF(F131="",F130,F131)</f>
        <v>0</v>
      </c>
      <c r="G132" s="344">
        <f>G129*IF(G131="",G130,G131)</f>
        <v>0</v>
      </c>
      <c r="H132" s="344">
        <f>H129*IF(H131="",H130,H131)</f>
        <v>0</v>
      </c>
      <c r="I132" s="344">
        <f t="shared" ref="I132:L132" si="62">I129*IF(I131="",I130,I131)</f>
        <v>0</v>
      </c>
      <c r="J132" s="344">
        <f t="shared" si="62"/>
        <v>0</v>
      </c>
      <c r="K132" s="344">
        <f t="shared" si="62"/>
        <v>0</v>
      </c>
      <c r="L132" s="344">
        <f t="shared" si="62"/>
        <v>0</v>
      </c>
      <c r="M132" s="344">
        <f>M129*IF(M131="",M130,M131)</f>
        <v>0</v>
      </c>
      <c r="N132" s="397"/>
      <c r="O132" s="337"/>
    </row>
    <row r="133" spans="2:15" ht="12" thickBot="1">
      <c r="B133" s="372"/>
      <c r="C133" s="373"/>
      <c r="D133" s="374" t="s">
        <v>295</v>
      </c>
      <c r="E133" s="62" t="s">
        <v>207</v>
      </c>
      <c r="F133" s="365">
        <f>F128+F132</f>
        <v>0</v>
      </c>
      <c r="G133" s="365">
        <f t="shared" ref="G133:M133" si="63">G128+G132</f>
        <v>0</v>
      </c>
      <c r="H133" s="365">
        <f t="shared" si="63"/>
        <v>0</v>
      </c>
      <c r="I133" s="365">
        <f t="shared" ref="I133:L133" si="64">I128+I132</f>
        <v>0</v>
      </c>
      <c r="J133" s="365">
        <f t="shared" si="64"/>
        <v>0</v>
      </c>
      <c r="K133" s="365">
        <f t="shared" si="64"/>
        <v>0</v>
      </c>
      <c r="L133" s="365">
        <f t="shared" si="64"/>
        <v>0</v>
      </c>
      <c r="M133" s="365">
        <f t="shared" si="63"/>
        <v>0</v>
      </c>
      <c r="N133" s="397"/>
      <c r="O133" s="337"/>
    </row>
    <row r="134" spans="2:15" ht="12" thickTop="1">
      <c r="B134" s="375" t="s">
        <v>296</v>
      </c>
      <c r="C134" s="376" t="s">
        <v>297</v>
      </c>
      <c r="D134" s="346" t="s">
        <v>298</v>
      </c>
      <c r="E134" s="28" t="s">
        <v>299</v>
      </c>
      <c r="F134" s="410"/>
      <c r="G134" s="410"/>
      <c r="H134" s="410"/>
      <c r="I134" s="410"/>
      <c r="J134" s="410"/>
      <c r="K134" s="410"/>
      <c r="L134" s="410"/>
      <c r="M134" s="410"/>
      <c r="N134" s="397"/>
      <c r="O134" s="337"/>
    </row>
    <row r="135" spans="2:15">
      <c r="B135" s="340"/>
      <c r="C135" s="371"/>
      <c r="D135" s="346" t="s">
        <v>300</v>
      </c>
      <c r="E135" s="28" t="s">
        <v>299</v>
      </c>
      <c r="F135" s="410"/>
      <c r="G135" s="410"/>
      <c r="H135" s="410"/>
      <c r="I135" s="410"/>
      <c r="J135" s="410"/>
      <c r="K135" s="410"/>
      <c r="L135" s="410"/>
      <c r="M135" s="410"/>
      <c r="N135" s="397"/>
      <c r="O135" s="337"/>
    </row>
    <row r="136" spans="2:15">
      <c r="B136" s="340"/>
      <c r="C136" s="371"/>
      <c r="D136" s="346" t="s">
        <v>301</v>
      </c>
      <c r="E136" s="28" t="s">
        <v>299</v>
      </c>
      <c r="F136" s="410"/>
      <c r="G136" s="410"/>
      <c r="H136" s="410"/>
      <c r="I136" s="410"/>
      <c r="J136" s="410"/>
      <c r="K136" s="410"/>
      <c r="L136" s="410"/>
      <c r="M136" s="410"/>
      <c r="N136" s="397"/>
      <c r="O136" s="337"/>
    </row>
    <row r="137" spans="2:15">
      <c r="B137" s="340"/>
      <c r="C137" s="371"/>
      <c r="D137" s="346" t="s">
        <v>302</v>
      </c>
      <c r="E137" s="28" t="s">
        <v>299</v>
      </c>
      <c r="F137" s="410"/>
      <c r="G137" s="410"/>
      <c r="H137" s="410"/>
      <c r="I137" s="410"/>
      <c r="J137" s="410"/>
      <c r="K137" s="410"/>
      <c r="L137" s="410"/>
      <c r="M137" s="410"/>
      <c r="N137" s="397"/>
      <c r="O137" s="337"/>
    </row>
    <row r="138" spans="2:15">
      <c r="B138" s="340"/>
      <c r="C138" s="377"/>
      <c r="D138" s="346" t="s">
        <v>303</v>
      </c>
      <c r="E138" s="28" t="s">
        <v>299</v>
      </c>
      <c r="F138" s="347">
        <f t="shared" ref="F138:M138" si="65">SUM(F134:F137)</f>
        <v>0</v>
      </c>
      <c r="G138" s="347">
        <f t="shared" si="65"/>
        <v>0</v>
      </c>
      <c r="H138" s="347">
        <f t="shared" si="65"/>
        <v>0</v>
      </c>
      <c r="I138" s="347">
        <f t="shared" si="65"/>
        <v>0</v>
      </c>
      <c r="J138" s="347">
        <f t="shared" si="65"/>
        <v>0</v>
      </c>
      <c r="K138" s="347">
        <f t="shared" si="65"/>
        <v>0</v>
      </c>
      <c r="L138" s="347">
        <f t="shared" si="65"/>
        <v>0</v>
      </c>
      <c r="M138" s="347">
        <f t="shared" si="65"/>
        <v>0</v>
      </c>
      <c r="N138" s="397"/>
      <c r="O138" s="337"/>
    </row>
    <row r="139" spans="2:15">
      <c r="B139" s="340"/>
      <c r="C139" s="376" t="str">
        <f t="shared" ref="C139" si="66">Growth_media</f>
        <v>Growth media</v>
      </c>
      <c r="D139" s="346" t="s">
        <v>304</v>
      </c>
      <c r="E139" s="28" t="s">
        <v>211</v>
      </c>
      <c r="F139" s="70">
        <f t="shared" ref="F139" si="67">Haul_roads_track_rail_growth_media_thickness/Conv_mm_in_metres</f>
        <v>0.15</v>
      </c>
      <c r="G139" s="70">
        <v>0.15</v>
      </c>
      <c r="H139" s="70">
        <v>0.15</v>
      </c>
      <c r="I139" s="70">
        <v>0.15</v>
      </c>
      <c r="J139" s="70">
        <v>0.15</v>
      </c>
      <c r="K139" s="70">
        <v>0.15</v>
      </c>
      <c r="L139" s="70">
        <v>0.15</v>
      </c>
      <c r="M139" s="70">
        <v>0.15</v>
      </c>
      <c r="N139" s="397"/>
      <c r="O139" s="337"/>
    </row>
    <row r="140" spans="2:15">
      <c r="B140" s="340"/>
      <c r="C140" s="371"/>
      <c r="D140" s="346" t="s">
        <v>305</v>
      </c>
      <c r="E140" s="28" t="s">
        <v>211</v>
      </c>
      <c r="F140" s="411"/>
      <c r="G140" s="411"/>
      <c r="H140" s="411"/>
      <c r="I140" s="411"/>
      <c r="J140" s="411"/>
      <c r="K140" s="411"/>
      <c r="L140" s="411"/>
      <c r="M140" s="411"/>
      <c r="N140" s="397"/>
      <c r="O140" s="337"/>
    </row>
    <row r="141" spans="2:15">
      <c r="B141" s="340"/>
      <c r="C141" s="371"/>
      <c r="D141" s="346" t="s">
        <v>306</v>
      </c>
      <c r="E141" s="28" t="s">
        <v>211</v>
      </c>
      <c r="F141" s="70">
        <f>IF(F140="",F139,F140)</f>
        <v>0.15</v>
      </c>
      <c r="G141" s="70">
        <f t="shared" ref="G141:M141" si="68">IF(G140="",G139,G140)</f>
        <v>0.15</v>
      </c>
      <c r="H141" s="70">
        <f t="shared" si="68"/>
        <v>0.15</v>
      </c>
      <c r="I141" s="70">
        <f t="shared" si="68"/>
        <v>0.15</v>
      </c>
      <c r="J141" s="70">
        <f t="shared" si="68"/>
        <v>0.15</v>
      </c>
      <c r="K141" s="70">
        <f t="shared" si="68"/>
        <v>0.15</v>
      </c>
      <c r="L141" s="70">
        <f t="shared" si="68"/>
        <v>0.15</v>
      </c>
      <c r="M141" s="70">
        <f t="shared" si="68"/>
        <v>0.15</v>
      </c>
      <c r="N141" s="397"/>
      <c r="O141" s="337"/>
    </row>
    <row r="142" spans="2:15">
      <c r="B142" s="340"/>
      <c r="C142" s="371"/>
      <c r="D142" s="346" t="s">
        <v>307</v>
      </c>
      <c r="E142" s="28" t="s">
        <v>219</v>
      </c>
      <c r="F142" s="367">
        <f t="shared" ref="F142:M142" si="69">F138*Conv_sqm_ha*F141</f>
        <v>0</v>
      </c>
      <c r="G142" s="367">
        <f t="shared" si="69"/>
        <v>0</v>
      </c>
      <c r="H142" s="367">
        <f t="shared" si="69"/>
        <v>0</v>
      </c>
      <c r="I142" s="367">
        <f t="shared" si="69"/>
        <v>0</v>
      </c>
      <c r="J142" s="367">
        <f t="shared" si="69"/>
        <v>0</v>
      </c>
      <c r="K142" s="367">
        <f t="shared" si="69"/>
        <v>0</v>
      </c>
      <c r="L142" s="367">
        <f t="shared" si="69"/>
        <v>0</v>
      </c>
      <c r="M142" s="367">
        <f t="shared" si="69"/>
        <v>0</v>
      </c>
      <c r="N142" s="397"/>
      <c r="O142" s="337"/>
    </row>
    <row r="143" spans="2:15" ht="33.75">
      <c r="B143" s="340"/>
      <c r="C143" s="371"/>
      <c r="D143" s="346" t="s">
        <v>308</v>
      </c>
      <c r="E143" s="28" t="s">
        <v>123</v>
      </c>
      <c r="F143" s="412" t="s">
        <v>309</v>
      </c>
      <c r="G143" s="412" t="s">
        <v>309</v>
      </c>
      <c r="H143" s="412" t="s">
        <v>309</v>
      </c>
      <c r="I143" s="412" t="s">
        <v>309</v>
      </c>
      <c r="J143" s="412" t="s">
        <v>309</v>
      </c>
      <c r="K143" s="412" t="s">
        <v>309</v>
      </c>
      <c r="L143" s="412" t="s">
        <v>309</v>
      </c>
      <c r="M143" s="412" t="s">
        <v>309</v>
      </c>
      <c r="N143" s="397"/>
      <c r="O143" s="337"/>
    </row>
    <row r="144" spans="2:15">
      <c r="B144" s="340"/>
      <c r="C144" s="371"/>
      <c r="D144" s="346" t="s">
        <v>227</v>
      </c>
      <c r="E144" s="28" t="s">
        <v>241</v>
      </c>
      <c r="F144" s="342">
        <f t="shared" ref="F144:M144" si="70">_xlfn.XLOOKUP(F143,Load_haul_soil_names_CS,Load_haul_soil_rates_CS)</f>
        <v>4.7790031332219423</v>
      </c>
      <c r="G144" s="342">
        <f t="shared" si="70"/>
        <v>4.7790031332219423</v>
      </c>
      <c r="H144" s="342">
        <f t="shared" si="70"/>
        <v>4.7790031332219423</v>
      </c>
      <c r="I144" s="342">
        <f t="shared" si="70"/>
        <v>4.7790031332219423</v>
      </c>
      <c r="J144" s="342">
        <f t="shared" si="70"/>
        <v>4.7790031332219423</v>
      </c>
      <c r="K144" s="342">
        <f t="shared" si="70"/>
        <v>4.7790031332219423</v>
      </c>
      <c r="L144" s="342">
        <f t="shared" si="70"/>
        <v>4.7790031332219423</v>
      </c>
      <c r="M144" s="342">
        <f t="shared" si="70"/>
        <v>4.7790031332219423</v>
      </c>
      <c r="N144" s="397"/>
      <c r="O144" s="337"/>
    </row>
    <row r="145" spans="2:15">
      <c r="B145" s="340"/>
      <c r="C145" s="371"/>
      <c r="D145" s="336" t="s">
        <v>229</v>
      </c>
      <c r="E145" s="28" t="s">
        <v>241</v>
      </c>
      <c r="F145" s="414"/>
      <c r="G145" s="414"/>
      <c r="H145" s="414"/>
      <c r="I145" s="414"/>
      <c r="J145" s="414"/>
      <c r="K145" s="414"/>
      <c r="L145" s="414"/>
      <c r="M145" s="414"/>
      <c r="N145" s="397"/>
      <c r="O145" s="337"/>
    </row>
    <row r="146" spans="2:15">
      <c r="B146" s="343"/>
      <c r="C146" s="377"/>
      <c r="D146" s="346" t="s">
        <v>146</v>
      </c>
      <c r="E146" s="28" t="s">
        <v>207</v>
      </c>
      <c r="F146" s="378">
        <f>IF(F145="",F144,F145)*F142</f>
        <v>0</v>
      </c>
      <c r="G146" s="378">
        <f t="shared" ref="G146:M146" si="71">IF(G145="",G144,G145)*G142</f>
        <v>0</v>
      </c>
      <c r="H146" s="378">
        <f t="shared" si="71"/>
        <v>0</v>
      </c>
      <c r="I146" s="378">
        <f t="shared" si="71"/>
        <v>0</v>
      </c>
      <c r="J146" s="378">
        <f t="shared" si="71"/>
        <v>0</v>
      </c>
      <c r="K146" s="378">
        <f t="shared" si="71"/>
        <v>0</v>
      </c>
      <c r="L146" s="378">
        <f t="shared" si="71"/>
        <v>0</v>
      </c>
      <c r="M146" s="378">
        <f t="shared" si="71"/>
        <v>0</v>
      </c>
      <c r="N146" s="397"/>
      <c r="O146" s="337"/>
    </row>
    <row r="147" spans="2:15" ht="12" thickBot="1">
      <c r="B147" s="372"/>
      <c r="C147" s="373"/>
      <c r="D147" s="374" t="str">
        <f>B134</f>
        <v>Source and apply growth media</v>
      </c>
      <c r="E147" s="72"/>
      <c r="F147" s="365">
        <f>F146</f>
        <v>0</v>
      </c>
      <c r="G147" s="365">
        <f t="shared" ref="G147:M147" si="72">G146</f>
        <v>0</v>
      </c>
      <c r="H147" s="365">
        <f t="shared" si="72"/>
        <v>0</v>
      </c>
      <c r="I147" s="365">
        <f t="shared" si="72"/>
        <v>0</v>
      </c>
      <c r="J147" s="365">
        <f t="shared" si="72"/>
        <v>0</v>
      </c>
      <c r="K147" s="365">
        <f t="shared" si="72"/>
        <v>0</v>
      </c>
      <c r="L147" s="365">
        <f t="shared" si="72"/>
        <v>0</v>
      </c>
      <c r="M147" s="365">
        <f t="shared" si="72"/>
        <v>0</v>
      </c>
      <c r="N147" s="397"/>
      <c r="O147" s="337"/>
    </row>
    <row r="148" spans="2:15" ht="12" thickTop="1">
      <c r="B148" s="375" t="s">
        <v>310</v>
      </c>
      <c r="C148" s="376" t="s">
        <v>297</v>
      </c>
      <c r="D148" s="346" t="s">
        <v>298</v>
      </c>
      <c r="E148" s="28" t="s">
        <v>299</v>
      </c>
      <c r="F148" s="410"/>
      <c r="G148" s="410"/>
      <c r="H148" s="410"/>
      <c r="I148" s="410"/>
      <c r="J148" s="410"/>
      <c r="K148" s="410"/>
      <c r="L148" s="410"/>
      <c r="M148" s="410"/>
      <c r="N148" s="397"/>
      <c r="O148" s="337"/>
    </row>
    <row r="149" spans="2:15">
      <c r="B149" s="340"/>
      <c r="C149" s="371"/>
      <c r="D149" s="346" t="s">
        <v>300</v>
      </c>
      <c r="E149" s="28" t="s">
        <v>299</v>
      </c>
      <c r="F149" s="410"/>
      <c r="G149" s="410"/>
      <c r="H149" s="410"/>
      <c r="I149" s="410"/>
      <c r="J149" s="410"/>
      <c r="K149" s="410"/>
      <c r="L149" s="410"/>
      <c r="M149" s="410"/>
      <c r="N149" s="397"/>
      <c r="O149" s="337"/>
    </row>
    <row r="150" spans="2:15">
      <c r="B150" s="340"/>
      <c r="C150" s="371"/>
      <c r="D150" s="346" t="s">
        <v>301</v>
      </c>
      <c r="E150" s="28" t="s">
        <v>299</v>
      </c>
      <c r="F150" s="410"/>
      <c r="G150" s="410"/>
      <c r="H150" s="410"/>
      <c r="I150" s="410"/>
      <c r="J150" s="410"/>
      <c r="K150" s="410"/>
      <c r="L150" s="410"/>
      <c r="M150" s="410"/>
      <c r="N150" s="397"/>
      <c r="O150" s="337"/>
    </row>
    <row r="151" spans="2:15">
      <c r="B151" s="340"/>
      <c r="C151" s="371"/>
      <c r="D151" s="346" t="s">
        <v>302</v>
      </c>
      <c r="E151" s="28" t="s">
        <v>299</v>
      </c>
      <c r="F151" s="410"/>
      <c r="G151" s="410"/>
      <c r="H151" s="410"/>
      <c r="I151" s="410"/>
      <c r="J151" s="410"/>
      <c r="K151" s="410"/>
      <c r="L151" s="410"/>
      <c r="M151" s="410"/>
      <c r="N151" s="397"/>
      <c r="O151" s="337"/>
    </row>
    <row r="152" spans="2:15">
      <c r="B152" s="340"/>
      <c r="C152" s="377"/>
      <c r="D152" s="346" t="s">
        <v>303</v>
      </c>
      <c r="E152" s="28" t="s">
        <v>299</v>
      </c>
      <c r="F152" s="347">
        <f t="shared" ref="F152:M152" si="73">SUM(F148:F151)</f>
        <v>0</v>
      </c>
      <c r="G152" s="347">
        <f t="shared" si="73"/>
        <v>0</v>
      </c>
      <c r="H152" s="347">
        <f t="shared" si="73"/>
        <v>0</v>
      </c>
      <c r="I152" s="347">
        <f t="shared" si="73"/>
        <v>0</v>
      </c>
      <c r="J152" s="347">
        <f t="shared" si="73"/>
        <v>0</v>
      </c>
      <c r="K152" s="347">
        <f t="shared" si="73"/>
        <v>0</v>
      </c>
      <c r="L152" s="347">
        <f t="shared" si="73"/>
        <v>0</v>
      </c>
      <c r="M152" s="347">
        <f t="shared" si="73"/>
        <v>0</v>
      </c>
      <c r="N152" s="397"/>
      <c r="O152" s="337"/>
    </row>
    <row r="153" spans="2:15" ht="22.5">
      <c r="B153" s="340"/>
      <c r="C153" s="376" t="str">
        <f t="shared" ref="C153" si="74">Ameliorants</f>
        <v>Ameliorants</v>
      </c>
      <c r="D153" s="346" t="s">
        <v>311</v>
      </c>
      <c r="E153" s="28" t="s">
        <v>123</v>
      </c>
      <c r="F153" s="412" t="s">
        <v>312</v>
      </c>
      <c r="G153" s="412" t="s">
        <v>313</v>
      </c>
      <c r="H153" s="412" t="s">
        <v>314</v>
      </c>
      <c r="I153" s="412" t="s">
        <v>315</v>
      </c>
      <c r="J153" s="412" t="s">
        <v>316</v>
      </c>
      <c r="K153" s="412" t="s">
        <v>317</v>
      </c>
      <c r="L153" s="412" t="s">
        <v>318</v>
      </c>
      <c r="M153" s="412" t="s">
        <v>319</v>
      </c>
      <c r="N153" s="397"/>
      <c r="O153" s="337"/>
    </row>
    <row r="154" spans="2:15">
      <c r="B154" s="340"/>
      <c r="C154" s="371"/>
      <c r="D154" s="346" t="s">
        <v>320</v>
      </c>
      <c r="E154" s="28" t="s">
        <v>321</v>
      </c>
      <c r="F154" s="345">
        <f>_xlfn.XLOOKUP(F153,'Assumptions - General'!$B$5:$B$14,'Assumptions - General'!$C$5:$C$14)</f>
        <v>2.5</v>
      </c>
      <c r="G154" s="345">
        <f>_xlfn.XLOOKUP(G153,'Assumptions - General'!$B$5:$B$14,'Assumptions - General'!$C$5:$C$14)</f>
        <v>2</v>
      </c>
      <c r="H154" s="345">
        <f>_xlfn.XLOOKUP(H153,'Assumptions - General'!$B$5:$B$14,'Assumptions - General'!$C$5:$C$14)</f>
        <v>50</v>
      </c>
      <c r="I154" s="345">
        <f>_xlfn.XLOOKUP(I153,'Assumptions - General'!$B$5:$B$14,'Assumptions - General'!$C$5:$C$14)</f>
        <v>10</v>
      </c>
      <c r="J154" s="345">
        <f>_xlfn.XLOOKUP(J153,'Assumptions - General'!$B$5:$B$14,'Assumptions - General'!$C$5:$C$14)</f>
        <v>5</v>
      </c>
      <c r="K154" s="345">
        <f>_xlfn.XLOOKUP(K153,'Assumptions - General'!$B$5:$B$14,'Assumptions - General'!$C$5:$C$14)</f>
        <v>0.3</v>
      </c>
      <c r="L154" s="345">
        <f>_xlfn.XLOOKUP(L153,'Assumptions - General'!$B$5:$B$14,'Assumptions - General'!$C$5:$C$14)</f>
        <v>0.1</v>
      </c>
      <c r="M154" s="345">
        <f>_xlfn.XLOOKUP(M153,'Assumptions - General'!$B$5:$B$14,'Assumptions - General'!$C$5:$C$14)</f>
        <v>0.1</v>
      </c>
      <c r="N154" s="397"/>
      <c r="O154" s="337"/>
    </row>
    <row r="155" spans="2:15">
      <c r="B155" s="340"/>
      <c r="C155" s="371"/>
      <c r="D155" s="346" t="s">
        <v>322</v>
      </c>
      <c r="E155" s="28" t="s">
        <v>221</v>
      </c>
      <c r="F155" s="367">
        <f>F152*F154</f>
        <v>0</v>
      </c>
      <c r="G155" s="367">
        <f t="shared" ref="G155:M155" si="75">G152*G154</f>
        <v>0</v>
      </c>
      <c r="H155" s="367">
        <f t="shared" si="75"/>
        <v>0</v>
      </c>
      <c r="I155" s="367">
        <f t="shared" si="75"/>
        <v>0</v>
      </c>
      <c r="J155" s="367">
        <f t="shared" si="75"/>
        <v>0</v>
      </c>
      <c r="K155" s="367">
        <f t="shared" si="75"/>
        <v>0</v>
      </c>
      <c r="L155" s="367">
        <f t="shared" si="75"/>
        <v>0</v>
      </c>
      <c r="M155" s="367">
        <f t="shared" si="75"/>
        <v>0</v>
      </c>
      <c r="N155" s="397"/>
      <c r="O155" s="337"/>
    </row>
    <row r="156" spans="2:15">
      <c r="B156" s="340"/>
      <c r="C156" s="338" t="s">
        <v>323</v>
      </c>
      <c r="D156" s="346" t="s">
        <v>227</v>
      </c>
      <c r="E156" s="28" t="s">
        <v>228</v>
      </c>
      <c r="F156" s="342">
        <f t="shared" ref="F156:M156" si="76">_xlfn.XLOOKUP(F153,Rates_soil_seed_adds_names_R,Rates_soil_seed_adds_rates_R)</f>
        <v>47</v>
      </c>
      <c r="G156" s="342">
        <f t="shared" si="76"/>
        <v>77</v>
      </c>
      <c r="H156" s="342">
        <f t="shared" si="76"/>
        <v>67.530528599999997</v>
      </c>
      <c r="I156" s="342">
        <f t="shared" si="76"/>
        <v>114.5305286</v>
      </c>
      <c r="J156" s="342">
        <f t="shared" si="76"/>
        <v>45.020352399999993</v>
      </c>
      <c r="K156" s="342">
        <f t="shared" si="76"/>
        <v>1125.5088099999998</v>
      </c>
      <c r="L156" s="342">
        <f t="shared" si="76"/>
        <v>500</v>
      </c>
      <c r="M156" s="342">
        <f t="shared" si="76"/>
        <v>3</v>
      </c>
      <c r="N156" s="397"/>
      <c r="O156" s="337"/>
    </row>
    <row r="157" spans="2:15">
      <c r="B157" s="340"/>
      <c r="C157" s="371"/>
      <c r="D157" s="336" t="s">
        <v>229</v>
      </c>
      <c r="E157" s="28" t="s">
        <v>228</v>
      </c>
      <c r="F157" s="414"/>
      <c r="G157" s="414"/>
      <c r="H157" s="414"/>
      <c r="I157" s="414"/>
      <c r="J157" s="414"/>
      <c r="K157" s="414"/>
      <c r="L157" s="414"/>
      <c r="M157" s="414"/>
      <c r="N157" s="397"/>
      <c r="O157" s="337"/>
    </row>
    <row r="158" spans="2:15">
      <c r="B158" s="340"/>
      <c r="C158" s="379" t="s">
        <v>324</v>
      </c>
      <c r="D158" s="346" t="s">
        <v>325</v>
      </c>
      <c r="E158" s="28" t="s">
        <v>207</v>
      </c>
      <c r="F158" s="380">
        <f>IF(F157="",F156,F157)*F155</f>
        <v>0</v>
      </c>
      <c r="G158" s="380">
        <f t="shared" ref="G158:M158" si="77">IF(G157="",G156,G157)*G155</f>
        <v>0</v>
      </c>
      <c r="H158" s="380">
        <f t="shared" si="77"/>
        <v>0</v>
      </c>
      <c r="I158" s="380">
        <f t="shared" si="77"/>
        <v>0</v>
      </c>
      <c r="J158" s="380">
        <f t="shared" si="77"/>
        <v>0</v>
      </c>
      <c r="K158" s="380">
        <f t="shared" si="77"/>
        <v>0</v>
      </c>
      <c r="L158" s="380">
        <f t="shared" si="77"/>
        <v>0</v>
      </c>
      <c r="M158" s="380">
        <f t="shared" si="77"/>
        <v>0</v>
      </c>
      <c r="N158" s="397"/>
      <c r="O158" s="337"/>
    </row>
    <row r="159" spans="2:15">
      <c r="B159" s="340"/>
      <c r="C159" s="338" t="s">
        <v>326</v>
      </c>
      <c r="D159" s="346" t="s">
        <v>327</v>
      </c>
      <c r="E159" s="28" t="s">
        <v>123</v>
      </c>
      <c r="F159" s="412" t="s">
        <v>233</v>
      </c>
      <c r="G159" s="412" t="s">
        <v>233</v>
      </c>
      <c r="H159" s="412" t="s">
        <v>233</v>
      </c>
      <c r="I159" s="412" t="s">
        <v>233</v>
      </c>
      <c r="J159" s="412" t="s">
        <v>233</v>
      </c>
      <c r="K159" s="412" t="s">
        <v>233</v>
      </c>
      <c r="L159" s="412" t="s">
        <v>233</v>
      </c>
      <c r="M159" s="412" t="s">
        <v>233</v>
      </c>
      <c r="N159" s="397"/>
      <c r="O159" s="337"/>
    </row>
    <row r="160" spans="2:15">
      <c r="B160" s="340"/>
      <c r="C160" s="371"/>
      <c r="D160" s="346" t="s">
        <v>227</v>
      </c>
      <c r="E160" s="28" t="s">
        <v>234</v>
      </c>
      <c r="F160" s="342">
        <f t="shared" ref="F160:M160" si="78">_xlfn.XLOOKUP(F159,Long_haul_soil_amend_names_mass_CS,Long_haul_soil_amend_rates_mass_CS)</f>
        <v>0.11650973647112783</v>
      </c>
      <c r="G160" s="342">
        <f t="shared" si="78"/>
        <v>0.11650973647112783</v>
      </c>
      <c r="H160" s="342">
        <f t="shared" si="78"/>
        <v>0.11650973647112783</v>
      </c>
      <c r="I160" s="342">
        <f t="shared" si="78"/>
        <v>0.11650973647112783</v>
      </c>
      <c r="J160" s="342">
        <f t="shared" si="78"/>
        <v>0.11650973647112783</v>
      </c>
      <c r="K160" s="342">
        <f t="shared" si="78"/>
        <v>0.11650973647112783</v>
      </c>
      <c r="L160" s="342">
        <f t="shared" si="78"/>
        <v>0.11650973647112783</v>
      </c>
      <c r="M160" s="342">
        <f t="shared" si="78"/>
        <v>0.11650973647112783</v>
      </c>
      <c r="N160" s="397"/>
      <c r="O160" s="337"/>
    </row>
    <row r="161" spans="2:15">
      <c r="B161" s="340"/>
      <c r="C161" s="371"/>
      <c r="D161" s="336" t="s">
        <v>229</v>
      </c>
      <c r="E161" s="28" t="s">
        <v>234</v>
      </c>
      <c r="F161" s="414"/>
      <c r="G161" s="414"/>
      <c r="H161" s="414"/>
      <c r="I161" s="414"/>
      <c r="J161" s="414"/>
      <c r="K161" s="414"/>
      <c r="L161" s="414"/>
      <c r="M161" s="414"/>
      <c r="N161" s="397"/>
      <c r="O161" s="337"/>
    </row>
    <row r="162" spans="2:15">
      <c r="B162" s="340"/>
      <c r="C162" s="371"/>
      <c r="D162" s="346" t="s">
        <v>146</v>
      </c>
      <c r="E162" s="28" t="s">
        <v>207</v>
      </c>
      <c r="F162" s="381">
        <f t="shared" ref="F162:M162" si="79">F155*_xlfn.XLOOKUP(F159,Long_haul_distance_names_L,Long_haul_distances_average_L)*IF(F161="",F160,F161)</f>
        <v>0</v>
      </c>
      <c r="G162" s="381">
        <f t="shared" si="79"/>
        <v>0</v>
      </c>
      <c r="H162" s="381">
        <f t="shared" si="79"/>
        <v>0</v>
      </c>
      <c r="I162" s="381">
        <f t="shared" si="79"/>
        <v>0</v>
      </c>
      <c r="J162" s="381">
        <f t="shared" si="79"/>
        <v>0</v>
      </c>
      <c r="K162" s="381">
        <f t="shared" si="79"/>
        <v>0</v>
      </c>
      <c r="L162" s="381">
        <f t="shared" si="79"/>
        <v>0</v>
      </c>
      <c r="M162" s="381">
        <f t="shared" si="79"/>
        <v>0</v>
      </c>
      <c r="N162" s="397"/>
      <c r="O162" s="337"/>
    </row>
    <row r="163" spans="2:15">
      <c r="B163" s="340"/>
      <c r="C163" s="338" t="s">
        <v>328</v>
      </c>
      <c r="D163" s="346" t="s">
        <v>227</v>
      </c>
      <c r="E163" s="28" t="s">
        <v>329</v>
      </c>
      <c r="F163" s="342">
        <f>'Cost Schedule'!$D$9</f>
        <v>2323.4444444444448</v>
      </c>
      <c r="G163" s="342">
        <f>'Cost Schedule'!$D$9</f>
        <v>2323.4444444444448</v>
      </c>
      <c r="H163" s="342">
        <f>'Cost Schedule'!$D$9</f>
        <v>2323.4444444444448</v>
      </c>
      <c r="I163" s="342">
        <f>'Cost Schedule'!$D$9</f>
        <v>2323.4444444444448</v>
      </c>
      <c r="J163" s="342">
        <f>'Cost Schedule'!$D$9</f>
        <v>2323.4444444444448</v>
      </c>
      <c r="K163" s="342">
        <f>'Cost Schedule'!$D$9</f>
        <v>2323.4444444444448</v>
      </c>
      <c r="L163" s="342">
        <f>'Cost Schedule'!$D$9</f>
        <v>2323.4444444444448</v>
      </c>
      <c r="M163" s="342">
        <f>'Cost Schedule'!$D$9</f>
        <v>2323.4444444444448</v>
      </c>
      <c r="N163" s="397"/>
      <c r="O163" s="337"/>
    </row>
    <row r="164" spans="2:15">
      <c r="B164" s="340"/>
      <c r="C164" s="371"/>
      <c r="D164" s="336" t="s">
        <v>229</v>
      </c>
      <c r="E164" s="28" t="s">
        <v>329</v>
      </c>
      <c r="F164" s="414"/>
      <c r="G164" s="414"/>
      <c r="H164" s="414"/>
      <c r="I164" s="414"/>
      <c r="J164" s="414"/>
      <c r="K164" s="414"/>
      <c r="L164" s="414"/>
      <c r="M164" s="414"/>
      <c r="N164" s="397"/>
      <c r="O164" s="337"/>
    </row>
    <row r="165" spans="2:15">
      <c r="B165" s="343"/>
      <c r="C165" s="377"/>
      <c r="D165" s="346" t="s">
        <v>146</v>
      </c>
      <c r="E165" s="28" t="s">
        <v>207</v>
      </c>
      <c r="F165" s="380">
        <f>F152*IF(F164="",F163,F164)</f>
        <v>0</v>
      </c>
      <c r="G165" s="380">
        <f t="shared" ref="G165:M165" si="80">G152*IF(G164="",G163,G164)</f>
        <v>0</v>
      </c>
      <c r="H165" s="380">
        <f t="shared" si="80"/>
        <v>0</v>
      </c>
      <c r="I165" s="380">
        <f t="shared" si="80"/>
        <v>0</v>
      </c>
      <c r="J165" s="380">
        <f t="shared" si="80"/>
        <v>0</v>
      </c>
      <c r="K165" s="380">
        <f t="shared" si="80"/>
        <v>0</v>
      </c>
      <c r="L165" s="380">
        <f t="shared" si="80"/>
        <v>0</v>
      </c>
      <c r="M165" s="380">
        <f t="shared" si="80"/>
        <v>0</v>
      </c>
      <c r="N165" s="397"/>
      <c r="O165" s="337"/>
    </row>
    <row r="166" spans="2:15" ht="12" thickBot="1">
      <c r="B166" s="372"/>
      <c r="C166" s="373"/>
      <c r="D166" s="374" t="str">
        <f>B148</f>
        <v>Source and apply ameliorants</v>
      </c>
      <c r="E166" s="72"/>
      <c r="F166" s="365">
        <f>F158+F162+F165</f>
        <v>0</v>
      </c>
      <c r="G166" s="365">
        <f t="shared" ref="G166:M166" si="81">G158+G162+G165</f>
        <v>0</v>
      </c>
      <c r="H166" s="365">
        <f t="shared" si="81"/>
        <v>0</v>
      </c>
      <c r="I166" s="365">
        <f t="shared" si="81"/>
        <v>0</v>
      </c>
      <c r="J166" s="365">
        <f t="shared" si="81"/>
        <v>0</v>
      </c>
      <c r="K166" s="365">
        <f t="shared" si="81"/>
        <v>0</v>
      </c>
      <c r="L166" s="365">
        <f t="shared" si="81"/>
        <v>0</v>
      </c>
      <c r="M166" s="365">
        <f t="shared" si="81"/>
        <v>0</v>
      </c>
      <c r="N166" s="397"/>
      <c r="O166" s="337"/>
    </row>
    <row r="167" spans="2:15" ht="12" thickTop="1">
      <c r="B167" s="375" t="s">
        <v>330</v>
      </c>
      <c r="C167" s="376" t="s">
        <v>331</v>
      </c>
      <c r="D167" s="346" t="s">
        <v>298</v>
      </c>
      <c r="E167" s="28" t="s">
        <v>299</v>
      </c>
      <c r="F167" s="410"/>
      <c r="G167" s="410"/>
      <c r="H167" s="410"/>
      <c r="I167" s="410"/>
      <c r="J167" s="410"/>
      <c r="K167" s="410"/>
      <c r="L167" s="410"/>
      <c r="M167" s="410"/>
      <c r="N167" s="397"/>
      <c r="O167" s="337"/>
    </row>
    <row r="168" spans="2:15">
      <c r="B168" s="340"/>
      <c r="C168" s="371"/>
      <c r="D168" s="346" t="s">
        <v>300</v>
      </c>
      <c r="E168" s="28" t="s">
        <v>299</v>
      </c>
      <c r="F168" s="410"/>
      <c r="G168" s="410"/>
      <c r="H168" s="410"/>
      <c r="I168" s="410"/>
      <c r="J168" s="410"/>
      <c r="K168" s="410"/>
      <c r="L168" s="410"/>
      <c r="M168" s="410"/>
      <c r="N168" s="397"/>
      <c r="O168" s="337"/>
    </row>
    <row r="169" spans="2:15">
      <c r="B169" s="340"/>
      <c r="C169" s="371"/>
      <c r="D169" s="346" t="s">
        <v>301</v>
      </c>
      <c r="E169" s="28" t="s">
        <v>299</v>
      </c>
      <c r="F169" s="410"/>
      <c r="G169" s="410"/>
      <c r="H169" s="410"/>
      <c r="I169" s="410"/>
      <c r="J169" s="410"/>
      <c r="K169" s="410"/>
      <c r="L169" s="410"/>
      <c r="M169" s="410"/>
      <c r="N169" s="397"/>
      <c r="O169" s="337"/>
    </row>
    <row r="170" spans="2:15">
      <c r="B170" s="340"/>
      <c r="C170" s="371"/>
      <c r="D170" s="346" t="s">
        <v>302</v>
      </c>
      <c r="E170" s="28" t="s">
        <v>299</v>
      </c>
      <c r="F170" s="410"/>
      <c r="G170" s="410"/>
      <c r="H170" s="410"/>
      <c r="I170" s="410"/>
      <c r="J170" s="410"/>
      <c r="K170" s="410"/>
      <c r="L170" s="410"/>
      <c r="M170" s="410"/>
      <c r="N170" s="397"/>
      <c r="O170" s="337"/>
    </row>
    <row r="171" spans="2:15">
      <c r="B171" s="340"/>
      <c r="C171" s="377"/>
      <c r="D171" s="346" t="s">
        <v>303</v>
      </c>
      <c r="E171" s="28" t="s">
        <v>299</v>
      </c>
      <c r="F171" s="347">
        <f t="shared" ref="F171:M171" si="82">SUM(F167:F170)</f>
        <v>0</v>
      </c>
      <c r="G171" s="347">
        <f t="shared" si="82"/>
        <v>0</v>
      </c>
      <c r="H171" s="347">
        <f t="shared" si="82"/>
        <v>0</v>
      </c>
      <c r="I171" s="347">
        <f t="shared" si="82"/>
        <v>0</v>
      </c>
      <c r="J171" s="347">
        <f t="shared" si="82"/>
        <v>0</v>
      </c>
      <c r="K171" s="347">
        <f t="shared" si="82"/>
        <v>0</v>
      </c>
      <c r="L171" s="347">
        <f t="shared" si="82"/>
        <v>0</v>
      </c>
      <c r="M171" s="347">
        <f t="shared" si="82"/>
        <v>0</v>
      </c>
      <c r="N171" s="397"/>
      <c r="O171" s="337"/>
    </row>
    <row r="172" spans="2:15" ht="45">
      <c r="B172" s="382" t="s">
        <v>332</v>
      </c>
      <c r="C172" s="376" t="s">
        <v>331</v>
      </c>
      <c r="D172" s="346" t="s">
        <v>333</v>
      </c>
      <c r="E172" s="28" t="s">
        <v>123</v>
      </c>
      <c r="F172" s="412" t="s">
        <v>334</v>
      </c>
      <c r="G172" s="412" t="s">
        <v>335</v>
      </c>
      <c r="H172" s="412" t="s">
        <v>336</v>
      </c>
      <c r="I172" s="412" t="s">
        <v>337</v>
      </c>
      <c r="J172" s="412" t="s">
        <v>338</v>
      </c>
      <c r="K172" s="412" t="s">
        <v>339</v>
      </c>
      <c r="L172" s="412" t="s">
        <v>340</v>
      </c>
      <c r="M172" s="412" t="s">
        <v>341</v>
      </c>
      <c r="N172" s="397"/>
      <c r="O172" s="337" t="s">
        <v>342</v>
      </c>
    </row>
    <row r="173" spans="2:15">
      <c r="B173" s="383"/>
      <c r="C173" s="371"/>
      <c r="D173" s="346" t="s">
        <v>227</v>
      </c>
      <c r="E173" s="28" t="s">
        <v>329</v>
      </c>
      <c r="F173" s="342">
        <f t="shared" ref="F173:M173" si="83">_xlfn.XLOOKUP(F172,Plant_and_seed_names_CS,Plant_and_seed_rates_CS)</f>
        <v>3145.8431763333333</v>
      </c>
      <c r="G173" s="342">
        <f t="shared" si="83"/>
        <v>2760.4646429999998</v>
      </c>
      <c r="H173" s="342">
        <f t="shared" si="83"/>
        <v>4558.1905333333334</v>
      </c>
      <c r="I173" s="342">
        <f t="shared" si="83"/>
        <v>4172.8119999999999</v>
      </c>
      <c r="J173" s="342">
        <f t="shared" si="83"/>
        <v>1295.5612666666668</v>
      </c>
      <c r="K173" s="342">
        <f t="shared" si="83"/>
        <v>2086.3507666666669</v>
      </c>
      <c r="L173" s="342">
        <f t="shared" si="83"/>
        <v>47734.652863250005</v>
      </c>
      <c r="M173" s="342">
        <f t="shared" si="83"/>
        <v>59084.652863250005</v>
      </c>
      <c r="N173" s="397"/>
      <c r="O173" s="337"/>
    </row>
    <row r="174" spans="2:15">
      <c r="B174" s="383"/>
      <c r="C174" s="371"/>
      <c r="D174" s="384" t="s">
        <v>229</v>
      </c>
      <c r="E174" s="28" t="s">
        <v>329</v>
      </c>
      <c r="F174" s="414"/>
      <c r="G174" s="414"/>
      <c r="H174" s="414"/>
      <c r="I174" s="414"/>
      <c r="J174" s="414"/>
      <c r="K174" s="414"/>
      <c r="L174" s="414"/>
      <c r="M174" s="414"/>
      <c r="N174" s="397"/>
      <c r="O174" s="337"/>
    </row>
    <row r="175" spans="2:15">
      <c r="B175" s="383"/>
      <c r="C175" s="371"/>
      <c r="D175" s="384" t="s">
        <v>146</v>
      </c>
      <c r="E175" s="28" t="s">
        <v>207</v>
      </c>
      <c r="F175" s="380">
        <f>F171*IF(F174="",F173,F174)</f>
        <v>0</v>
      </c>
      <c r="G175" s="380">
        <f t="shared" ref="G175:M175" si="84">G171*IF(G174="",G173,G174)</f>
        <v>0</v>
      </c>
      <c r="H175" s="380">
        <f t="shared" si="84"/>
        <v>0</v>
      </c>
      <c r="I175" s="380">
        <f t="shared" si="84"/>
        <v>0</v>
      </c>
      <c r="J175" s="380">
        <f t="shared" si="84"/>
        <v>0</v>
      </c>
      <c r="K175" s="380">
        <f t="shared" si="84"/>
        <v>0</v>
      </c>
      <c r="L175" s="380">
        <f t="shared" si="84"/>
        <v>0</v>
      </c>
      <c r="M175" s="380">
        <f t="shared" si="84"/>
        <v>0</v>
      </c>
      <c r="N175" s="397"/>
      <c r="O175" s="337"/>
    </row>
    <row r="176" spans="2:15" ht="12" thickBot="1">
      <c r="B176" s="372"/>
      <c r="C176" s="373"/>
      <c r="D176" s="374" t="str">
        <f>B167</f>
        <v>Revegetate (rolled-up rates)</v>
      </c>
      <c r="E176" s="72"/>
      <c r="F176" s="365">
        <f>F175</f>
        <v>0</v>
      </c>
      <c r="G176" s="365">
        <f t="shared" ref="G176:M176" si="85">G175</f>
        <v>0</v>
      </c>
      <c r="H176" s="365">
        <f t="shared" si="85"/>
        <v>0</v>
      </c>
      <c r="I176" s="365">
        <f t="shared" si="85"/>
        <v>0</v>
      </c>
      <c r="J176" s="365">
        <f t="shared" si="85"/>
        <v>0</v>
      </c>
      <c r="K176" s="365">
        <f t="shared" si="85"/>
        <v>0</v>
      </c>
      <c r="L176" s="365">
        <f t="shared" si="85"/>
        <v>0</v>
      </c>
      <c r="M176" s="365">
        <f t="shared" si="85"/>
        <v>0</v>
      </c>
      <c r="N176" s="397"/>
      <c r="O176" s="337"/>
    </row>
    <row r="177" spans="2:15" ht="12" thickTop="1">
      <c r="B177" s="375" t="s">
        <v>343</v>
      </c>
      <c r="C177" s="376" t="s">
        <v>331</v>
      </c>
      <c r="D177" s="346" t="s">
        <v>298</v>
      </c>
      <c r="E177" s="28" t="s">
        <v>299</v>
      </c>
      <c r="F177" s="410"/>
      <c r="G177" s="410"/>
      <c r="H177" s="410"/>
      <c r="I177" s="410"/>
      <c r="J177" s="410"/>
      <c r="K177" s="410"/>
      <c r="L177" s="410"/>
      <c r="M177" s="410"/>
      <c r="N177" s="397"/>
      <c r="O177" s="337"/>
    </row>
    <row r="178" spans="2:15">
      <c r="B178" s="340"/>
      <c r="C178" s="371"/>
      <c r="D178" s="346" t="s">
        <v>300</v>
      </c>
      <c r="E178" s="28" t="s">
        <v>299</v>
      </c>
      <c r="F178" s="410"/>
      <c r="G178" s="410"/>
      <c r="H178" s="410"/>
      <c r="I178" s="410"/>
      <c r="J178" s="410"/>
      <c r="K178" s="410"/>
      <c r="L178" s="410"/>
      <c r="M178" s="410"/>
      <c r="N178" s="397"/>
      <c r="O178" s="337"/>
    </row>
    <row r="179" spans="2:15">
      <c r="B179" s="340"/>
      <c r="C179" s="371"/>
      <c r="D179" s="346" t="s">
        <v>301</v>
      </c>
      <c r="E179" s="28" t="s">
        <v>299</v>
      </c>
      <c r="F179" s="410"/>
      <c r="G179" s="410"/>
      <c r="H179" s="410"/>
      <c r="I179" s="410"/>
      <c r="J179" s="410"/>
      <c r="K179" s="410"/>
      <c r="L179" s="410"/>
      <c r="M179" s="410"/>
      <c r="N179" s="397"/>
      <c r="O179" s="337"/>
    </row>
    <row r="180" spans="2:15">
      <c r="B180" s="340"/>
      <c r="C180" s="371"/>
      <c r="D180" s="346" t="s">
        <v>302</v>
      </c>
      <c r="E180" s="28" t="s">
        <v>299</v>
      </c>
      <c r="F180" s="410"/>
      <c r="G180" s="410"/>
      <c r="H180" s="410"/>
      <c r="I180" s="410"/>
      <c r="J180" s="410"/>
      <c r="K180" s="410"/>
      <c r="L180" s="410"/>
      <c r="M180" s="410"/>
      <c r="N180" s="397"/>
      <c r="O180" s="337"/>
    </row>
    <row r="181" spans="2:15">
      <c r="B181" s="340"/>
      <c r="C181" s="377"/>
      <c r="D181" s="346" t="s">
        <v>303</v>
      </c>
      <c r="E181" s="28" t="s">
        <v>299</v>
      </c>
      <c r="F181" s="347">
        <f t="shared" ref="F181:M181" si="86">SUM(F177:F180)</f>
        <v>0</v>
      </c>
      <c r="G181" s="347">
        <f t="shared" si="86"/>
        <v>0</v>
      </c>
      <c r="H181" s="347">
        <f t="shared" si="86"/>
        <v>0</v>
      </c>
      <c r="I181" s="347">
        <f t="shared" si="86"/>
        <v>0</v>
      </c>
      <c r="J181" s="347">
        <f t="shared" si="86"/>
        <v>0</v>
      </c>
      <c r="K181" s="347">
        <f t="shared" si="86"/>
        <v>0</v>
      </c>
      <c r="L181" s="347">
        <f t="shared" si="86"/>
        <v>0</v>
      </c>
      <c r="M181" s="347">
        <f t="shared" si="86"/>
        <v>0</v>
      </c>
      <c r="N181" s="397"/>
      <c r="O181" s="337"/>
    </row>
    <row r="182" spans="2:15" ht="33.75">
      <c r="B182" s="382" t="s">
        <v>344</v>
      </c>
      <c r="C182" s="376" t="s">
        <v>345</v>
      </c>
      <c r="D182" s="346" t="s">
        <v>333</v>
      </c>
      <c r="E182" s="28" t="s">
        <v>123</v>
      </c>
      <c r="F182" s="412" t="s">
        <v>346</v>
      </c>
      <c r="G182" s="412" t="s">
        <v>346</v>
      </c>
      <c r="H182" s="412" t="s">
        <v>347</v>
      </c>
      <c r="I182" s="412" t="s">
        <v>347</v>
      </c>
      <c r="J182" s="412" t="s">
        <v>348</v>
      </c>
      <c r="K182" s="412" t="s">
        <v>349</v>
      </c>
      <c r="L182" s="412" t="s">
        <v>350</v>
      </c>
      <c r="M182" s="412" t="s">
        <v>351</v>
      </c>
      <c r="N182" s="397"/>
      <c r="O182" s="337"/>
    </row>
    <row r="183" spans="2:15">
      <c r="B183" s="383"/>
      <c r="C183" s="371"/>
      <c r="D183" s="346" t="s">
        <v>227</v>
      </c>
      <c r="E183" s="28" t="s">
        <v>352</v>
      </c>
      <c r="F183" s="342">
        <f>_xlfn.XLOOKUP(F182,Rates_soil_seed_adds_names_R,Rates_soil_seed_adds_rates_R)</f>
        <v>150</v>
      </c>
      <c r="G183" s="342">
        <f t="shared" ref="G183:M183" si="87">_xlfn.XLOOKUP(G182,Rates_soil_seed_adds_names_R,Rates_soil_seed_adds_rates_R)</f>
        <v>150</v>
      </c>
      <c r="H183" s="342">
        <f t="shared" si="87"/>
        <v>350</v>
      </c>
      <c r="I183" s="342">
        <f t="shared" si="87"/>
        <v>350</v>
      </c>
      <c r="J183" s="342">
        <f t="shared" si="87"/>
        <v>5</v>
      </c>
      <c r="K183" s="342">
        <f t="shared" si="87"/>
        <v>15</v>
      </c>
      <c r="L183" s="342">
        <f t="shared" si="87"/>
        <v>17.647058823529413</v>
      </c>
      <c r="M183" s="342">
        <f t="shared" si="87"/>
        <v>920</v>
      </c>
      <c r="N183" s="397"/>
      <c r="O183" s="337"/>
    </row>
    <row r="184" spans="2:15">
      <c r="B184" s="383"/>
      <c r="C184" s="371"/>
      <c r="D184" s="346" t="s">
        <v>353</v>
      </c>
      <c r="F184" s="70" t="str">
        <f t="shared" ref="F184:M184" si="88">IF(F182=Arid,"",_xlfn.XLOOKUP(F182,Rates_soil_seed_adds_names_R,Rates_soil_seed_add_units_R))</f>
        <v>kg</v>
      </c>
      <c r="G184" s="70" t="str">
        <f t="shared" si="88"/>
        <v>kg</v>
      </c>
      <c r="H184" s="70" t="str">
        <f t="shared" si="88"/>
        <v>kg</v>
      </c>
      <c r="I184" s="70" t="str">
        <f t="shared" si="88"/>
        <v>kg</v>
      </c>
      <c r="J184" s="70" t="str">
        <f t="shared" si="88"/>
        <v>item</v>
      </c>
      <c r="K184" s="70" t="str">
        <f t="shared" si="88"/>
        <v>item</v>
      </c>
      <c r="L184" s="70" t="str">
        <f t="shared" si="88"/>
        <v>kg</v>
      </c>
      <c r="M184" s="70" t="str">
        <f t="shared" si="88"/>
        <v>kg</v>
      </c>
      <c r="N184" s="397"/>
      <c r="O184" s="337"/>
    </row>
    <row r="185" spans="2:15">
      <c r="B185" s="383"/>
      <c r="C185" s="371"/>
      <c r="D185" s="384" t="s">
        <v>229</v>
      </c>
      <c r="E185" s="28" t="s">
        <v>352</v>
      </c>
      <c r="F185" s="414"/>
      <c r="G185" s="414"/>
      <c r="H185" s="414"/>
      <c r="I185" s="414"/>
      <c r="J185" s="414"/>
      <c r="K185" s="414"/>
      <c r="L185" s="414"/>
      <c r="M185" s="414"/>
      <c r="N185" s="397"/>
      <c r="O185" s="337"/>
    </row>
    <row r="186" spans="2:15">
      <c r="B186" s="383"/>
      <c r="C186" s="371"/>
      <c r="D186" s="384" t="s">
        <v>320</v>
      </c>
      <c r="E186" s="28" t="s">
        <v>354</v>
      </c>
      <c r="F186" s="385">
        <f t="shared" ref="F186:M186" si="89">_xlfn.XLOOKUP(F182,Plant_and_seed_appln_rate_names_Assumptions,Plant_and_seed_appln_rates_rates_Assumptions)</f>
        <v>5</v>
      </c>
      <c r="G186" s="385">
        <f t="shared" si="89"/>
        <v>5</v>
      </c>
      <c r="H186" s="385">
        <f t="shared" si="89"/>
        <v>7</v>
      </c>
      <c r="I186" s="385">
        <f t="shared" si="89"/>
        <v>7</v>
      </c>
      <c r="J186" s="385">
        <f t="shared" si="89"/>
        <v>150</v>
      </c>
      <c r="K186" s="385">
        <f t="shared" si="89"/>
        <v>75</v>
      </c>
      <c r="L186" s="385">
        <f t="shared" si="89"/>
        <v>42.5</v>
      </c>
      <c r="M186" s="385">
        <f t="shared" si="89"/>
        <v>12.5</v>
      </c>
      <c r="N186" s="397"/>
      <c r="O186" s="337"/>
    </row>
    <row r="187" spans="2:15">
      <c r="B187" s="383"/>
      <c r="C187" s="371"/>
      <c r="D187" s="384" t="s">
        <v>355</v>
      </c>
      <c r="F187" s="385">
        <f>F186*F181</f>
        <v>0</v>
      </c>
      <c r="G187" s="385">
        <f t="shared" ref="G187:M187" si="90">G186*G181</f>
        <v>0</v>
      </c>
      <c r="H187" s="385">
        <f t="shared" si="90"/>
        <v>0</v>
      </c>
      <c r="I187" s="385">
        <f t="shared" si="90"/>
        <v>0</v>
      </c>
      <c r="J187" s="385">
        <f t="shared" si="90"/>
        <v>0</v>
      </c>
      <c r="K187" s="385">
        <f t="shared" si="90"/>
        <v>0</v>
      </c>
      <c r="L187" s="385">
        <f t="shared" si="90"/>
        <v>0</v>
      </c>
      <c r="M187" s="385">
        <f t="shared" si="90"/>
        <v>0</v>
      </c>
      <c r="N187" s="397"/>
      <c r="O187" s="337"/>
    </row>
    <row r="188" spans="2:15">
      <c r="B188" s="386"/>
      <c r="C188" s="371"/>
      <c r="D188" s="346" t="s">
        <v>146</v>
      </c>
      <c r="E188" s="28" t="s">
        <v>207</v>
      </c>
      <c r="F188" s="387">
        <f>IF(F185="",F183,F185)*F187</f>
        <v>0</v>
      </c>
      <c r="G188" s="387">
        <f t="shared" ref="G188:M188" si="91">IF(G185="",G183,G185)*G187</f>
        <v>0</v>
      </c>
      <c r="H188" s="387">
        <f t="shared" si="91"/>
        <v>0</v>
      </c>
      <c r="I188" s="387">
        <f t="shared" si="91"/>
        <v>0</v>
      </c>
      <c r="J188" s="387">
        <f t="shared" si="91"/>
        <v>0</v>
      </c>
      <c r="K188" s="387">
        <f t="shared" si="91"/>
        <v>0</v>
      </c>
      <c r="L188" s="387">
        <f t="shared" si="91"/>
        <v>0</v>
      </c>
      <c r="M188" s="387">
        <f t="shared" si="91"/>
        <v>0</v>
      </c>
      <c r="N188" s="397"/>
      <c r="O188" s="337"/>
    </row>
    <row r="189" spans="2:15" ht="56.25">
      <c r="B189" s="382" t="s">
        <v>356</v>
      </c>
      <c r="C189" s="371"/>
      <c r="D189" s="346" t="s">
        <v>357</v>
      </c>
      <c r="E189" s="28" t="s">
        <v>123</v>
      </c>
      <c r="F189" s="412" t="s">
        <v>358</v>
      </c>
      <c r="G189" s="412" t="s">
        <v>359</v>
      </c>
      <c r="H189" s="412" t="s">
        <v>360</v>
      </c>
      <c r="I189" s="412" t="s">
        <v>361</v>
      </c>
      <c r="J189" s="412" t="s">
        <v>362</v>
      </c>
      <c r="K189" s="412" t="s">
        <v>363</v>
      </c>
      <c r="L189" s="412" t="s">
        <v>364</v>
      </c>
      <c r="M189" s="412" t="s">
        <v>365</v>
      </c>
      <c r="N189" s="397"/>
      <c r="O189" s="337" t="s">
        <v>366</v>
      </c>
    </row>
    <row r="190" spans="2:15">
      <c r="B190" s="383"/>
      <c r="C190" s="371"/>
      <c r="D190" s="346" t="s">
        <v>227</v>
      </c>
      <c r="E190" s="28" t="s">
        <v>299</v>
      </c>
      <c r="F190" s="342">
        <f t="shared" ref="F190:M190" si="92">IF(F$182=Arid,0,_xlfn.XLOOKUP(F189,Plant_and_seed_apply_plant_names_CS,Plant_and_seed_apply_plant_rates_CS))</f>
        <v>539.45026666666672</v>
      </c>
      <c r="G190" s="342">
        <f t="shared" si="92"/>
        <v>265.67200000000003</v>
      </c>
      <c r="H190" s="342">
        <f t="shared" si="92"/>
        <v>539.45026666666672</v>
      </c>
      <c r="I190" s="342">
        <f t="shared" si="92"/>
        <v>265.67200000000003</v>
      </c>
      <c r="J190" s="342">
        <f t="shared" si="92"/>
        <v>218.42099999999999</v>
      </c>
      <c r="K190" s="342">
        <f t="shared" si="92"/>
        <v>634.21050000000002</v>
      </c>
      <c r="L190" s="342">
        <f t="shared" si="92"/>
        <v>46000</v>
      </c>
      <c r="M190" s="342">
        <f t="shared" si="92"/>
        <v>46000</v>
      </c>
      <c r="N190" s="397"/>
      <c r="O190" s="337"/>
    </row>
    <row r="191" spans="2:15">
      <c r="B191" s="383"/>
      <c r="C191" s="371"/>
      <c r="D191" s="384" t="s">
        <v>229</v>
      </c>
      <c r="E191" s="28" t="s">
        <v>329</v>
      </c>
      <c r="F191" s="414"/>
      <c r="G191" s="414"/>
      <c r="H191" s="414"/>
      <c r="I191" s="414"/>
      <c r="J191" s="414"/>
      <c r="K191" s="414"/>
      <c r="L191" s="414"/>
      <c r="M191" s="414"/>
      <c r="N191" s="397"/>
      <c r="O191" s="337"/>
    </row>
    <row r="192" spans="2:15">
      <c r="B192" s="386"/>
      <c r="C192" s="371"/>
      <c r="D192" s="346" t="s">
        <v>146</v>
      </c>
      <c r="E192" s="28" t="s">
        <v>207</v>
      </c>
      <c r="F192" s="387">
        <f>F$181*IF(F191="",F190,F191)</f>
        <v>0</v>
      </c>
      <c r="G192" s="387">
        <f t="shared" ref="G192" si="93">G$181*IF(G191="",G190,G191)</f>
        <v>0</v>
      </c>
      <c r="H192" s="387">
        <f t="shared" ref="H192" si="94">H$181*IF(H191="",H190,H191)</f>
        <v>0</v>
      </c>
      <c r="I192" s="387">
        <f t="shared" ref="I192" si="95">I$181*IF(I191="",I190,I191)</f>
        <v>0</v>
      </c>
      <c r="J192" s="387">
        <f t="shared" ref="J192" si="96">J$181*IF(J191="",J190,J191)</f>
        <v>0</v>
      </c>
      <c r="K192" s="387">
        <f t="shared" ref="K192" si="97">K$181*IF(K191="",K190,K191)</f>
        <v>0</v>
      </c>
      <c r="L192" s="387">
        <f t="shared" ref="L192" si="98">L$181*IF(L191="",L190,L191)</f>
        <v>0</v>
      </c>
      <c r="M192" s="387">
        <f t="shared" ref="M192" si="99">M$181*IF(M191="",M190,M191)</f>
        <v>0</v>
      </c>
      <c r="N192" s="397"/>
      <c r="O192" s="337"/>
    </row>
    <row r="193" spans="2:15" ht="56.25">
      <c r="B193" s="382" t="s">
        <v>367</v>
      </c>
      <c r="C193" s="371"/>
      <c r="D193" s="346" t="s">
        <v>357</v>
      </c>
      <c r="E193" s="28" t="s">
        <v>123</v>
      </c>
      <c r="F193" s="412" t="s">
        <v>368</v>
      </c>
      <c r="G193" s="412" t="s">
        <v>369</v>
      </c>
      <c r="H193" s="412" t="s">
        <v>370</v>
      </c>
      <c r="I193" s="412" t="s">
        <v>371</v>
      </c>
      <c r="J193" s="412" t="s">
        <v>372</v>
      </c>
      <c r="K193" s="412" t="s">
        <v>373</v>
      </c>
      <c r="L193" s="412" t="s">
        <v>374</v>
      </c>
      <c r="M193" s="412" t="s">
        <v>375</v>
      </c>
      <c r="N193" s="397"/>
      <c r="O193" s="337"/>
    </row>
    <row r="194" spans="2:15">
      <c r="B194" s="383"/>
      <c r="C194" s="371"/>
      <c r="D194" s="346" t="s">
        <v>227</v>
      </c>
      <c r="E194" s="28" t="s">
        <v>299</v>
      </c>
      <c r="F194" s="342">
        <f t="shared" ref="F194:M194" si="100">IF(F$182=Arid,0,_xlfn.XLOOKUP(F193,Plant_and_seed_fertiliser_buy_names_CS,Plant_and_seed_fertiliser_buy_rates_CS))</f>
        <v>337.65264299999996</v>
      </c>
      <c r="G194" s="342">
        <f t="shared" si="100"/>
        <v>337.65264299999996</v>
      </c>
      <c r="H194" s="342">
        <f t="shared" si="100"/>
        <v>50</v>
      </c>
      <c r="I194" s="342">
        <f t="shared" si="100"/>
        <v>50</v>
      </c>
      <c r="J194" s="342">
        <f t="shared" si="100"/>
        <v>50</v>
      </c>
      <c r="K194" s="342">
        <f t="shared" si="100"/>
        <v>50</v>
      </c>
      <c r="L194" s="342">
        <f t="shared" si="100"/>
        <v>365.79036324999993</v>
      </c>
      <c r="M194" s="342">
        <f t="shared" si="100"/>
        <v>365.79036324999993</v>
      </c>
      <c r="N194" s="397"/>
      <c r="O194" s="337"/>
    </row>
    <row r="195" spans="2:15">
      <c r="B195" s="383"/>
      <c r="C195" s="371"/>
      <c r="D195" s="384" t="s">
        <v>229</v>
      </c>
      <c r="E195" s="28" t="s">
        <v>329</v>
      </c>
      <c r="F195" s="414"/>
      <c r="G195" s="414"/>
      <c r="H195" s="414"/>
      <c r="I195" s="414"/>
      <c r="J195" s="414"/>
      <c r="K195" s="414"/>
      <c r="L195" s="414"/>
      <c r="M195" s="414"/>
      <c r="N195" s="397"/>
      <c r="O195" s="337"/>
    </row>
    <row r="196" spans="2:15">
      <c r="B196" s="386"/>
      <c r="C196" s="371"/>
      <c r="D196" s="346" t="s">
        <v>146</v>
      </c>
      <c r="E196" s="28" t="s">
        <v>207</v>
      </c>
      <c r="F196" s="387">
        <f>F$181*IF(F195="",F194,F195)</f>
        <v>0</v>
      </c>
      <c r="G196" s="387">
        <f t="shared" ref="G196" si="101">G$181*IF(G195="",G194,G195)</f>
        <v>0</v>
      </c>
      <c r="H196" s="387">
        <f t="shared" ref="H196" si="102">H$181*IF(H195="",H194,H195)</f>
        <v>0</v>
      </c>
      <c r="I196" s="387">
        <f t="shared" ref="I196" si="103">I$181*IF(I195="",I194,I195)</f>
        <v>0</v>
      </c>
      <c r="J196" s="387">
        <f t="shared" ref="J196" si="104">J$181*IF(J195="",J194,J195)</f>
        <v>0</v>
      </c>
      <c r="K196" s="387">
        <f t="shared" ref="K196" si="105">K$181*IF(K195="",K194,K195)</f>
        <v>0</v>
      </c>
      <c r="L196" s="387">
        <f t="shared" ref="L196" si="106">L$181*IF(L195="",L194,L195)</f>
        <v>0</v>
      </c>
      <c r="M196" s="387">
        <f t="shared" ref="M196" si="107">M$181*IF(M195="",M194,M195)</f>
        <v>0</v>
      </c>
      <c r="N196" s="397"/>
      <c r="O196" s="337"/>
    </row>
    <row r="197" spans="2:15" ht="56.25">
      <c r="B197" s="382" t="s">
        <v>376</v>
      </c>
      <c r="C197" s="371"/>
      <c r="D197" s="346" t="s">
        <v>357</v>
      </c>
      <c r="E197" s="28" t="s">
        <v>123</v>
      </c>
      <c r="F197" s="412" t="s">
        <v>377</v>
      </c>
      <c r="G197" s="412" t="s">
        <v>378</v>
      </c>
      <c r="H197" s="412" t="s">
        <v>379</v>
      </c>
      <c r="I197" s="412" t="s">
        <v>380</v>
      </c>
      <c r="J197" s="412" t="s">
        <v>381</v>
      </c>
      <c r="K197" s="412" t="s">
        <v>382</v>
      </c>
      <c r="L197" s="412" t="s">
        <v>383</v>
      </c>
      <c r="M197" s="412" t="s">
        <v>384</v>
      </c>
      <c r="N197" s="397"/>
      <c r="O197" s="337"/>
    </row>
    <row r="198" spans="2:15">
      <c r="B198" s="383"/>
      <c r="C198" s="371"/>
      <c r="D198" s="346" t="s">
        <v>227</v>
      </c>
      <c r="E198" s="28" t="s">
        <v>299</v>
      </c>
      <c r="F198" s="342">
        <f t="shared" ref="F198:M198" si="108">IF(F182=Arid,0,_xlfn.XLOOKUP(F197,Plant_and_seed_apply_fertiliser_names_CS,Plant_and_seed_fertiliser_apply_rates_CS))</f>
        <v>151.0736</v>
      </c>
      <c r="G198" s="342">
        <f t="shared" si="108"/>
        <v>39.473333333333336</v>
      </c>
      <c r="H198" s="342">
        <f t="shared" si="108"/>
        <v>151.0736</v>
      </c>
      <c r="I198" s="342">
        <f t="shared" si="108"/>
        <v>39.473333333333336</v>
      </c>
      <c r="J198" s="342">
        <f t="shared" si="108"/>
        <v>9.4736000000000011</v>
      </c>
      <c r="K198" s="342">
        <f t="shared" si="108"/>
        <v>9.4736000000000011</v>
      </c>
      <c r="L198" s="342">
        <f t="shared" si="108"/>
        <v>0</v>
      </c>
      <c r="M198" s="342">
        <f t="shared" si="108"/>
        <v>0</v>
      </c>
      <c r="N198" s="397"/>
      <c r="O198" s="337" t="s">
        <v>385</v>
      </c>
    </row>
    <row r="199" spans="2:15">
      <c r="B199" s="383"/>
      <c r="C199" s="371"/>
      <c r="D199" s="384" t="s">
        <v>229</v>
      </c>
      <c r="E199" s="28" t="s">
        <v>329</v>
      </c>
      <c r="F199" s="414"/>
      <c r="G199" s="414"/>
      <c r="H199" s="414"/>
      <c r="I199" s="414"/>
      <c r="J199" s="414"/>
      <c r="K199" s="414"/>
      <c r="L199" s="414"/>
      <c r="M199" s="414"/>
      <c r="N199" s="397"/>
      <c r="O199" s="337"/>
    </row>
    <row r="200" spans="2:15">
      <c r="B200" s="386"/>
      <c r="C200" s="371"/>
      <c r="D200" s="346" t="s">
        <v>146</v>
      </c>
      <c r="E200" s="28" t="s">
        <v>207</v>
      </c>
      <c r="F200" s="387">
        <f>F$181*IF(F199="",F198,F199)</f>
        <v>0</v>
      </c>
      <c r="G200" s="387">
        <f t="shared" ref="G200:M200" si="109">G$181*IF(G199="",G198,G199)</f>
        <v>0</v>
      </c>
      <c r="H200" s="387">
        <f t="shared" si="109"/>
        <v>0</v>
      </c>
      <c r="I200" s="387">
        <f t="shared" si="109"/>
        <v>0</v>
      </c>
      <c r="J200" s="387">
        <f t="shared" si="109"/>
        <v>0</v>
      </c>
      <c r="K200" s="387">
        <f t="shared" si="109"/>
        <v>0</v>
      </c>
      <c r="L200" s="387">
        <f t="shared" si="109"/>
        <v>0</v>
      </c>
      <c r="M200" s="387">
        <f t="shared" si="109"/>
        <v>0</v>
      </c>
      <c r="N200" s="397"/>
      <c r="O200" s="337"/>
    </row>
    <row r="201" spans="2:15" ht="45">
      <c r="B201" s="382" t="s">
        <v>386</v>
      </c>
      <c r="C201" s="371"/>
      <c r="D201" s="346" t="s">
        <v>357</v>
      </c>
      <c r="E201" s="28" t="s">
        <v>123</v>
      </c>
      <c r="F201" s="412" t="s">
        <v>387</v>
      </c>
      <c r="G201" s="412" t="s">
        <v>388</v>
      </c>
      <c r="H201" s="412" t="s">
        <v>389</v>
      </c>
      <c r="I201" s="412" t="s">
        <v>390</v>
      </c>
      <c r="J201" s="412" t="s">
        <v>391</v>
      </c>
      <c r="K201" s="412" t="s">
        <v>392</v>
      </c>
      <c r="L201" s="412" t="s">
        <v>393</v>
      </c>
      <c r="M201" s="412" t="s">
        <v>394</v>
      </c>
      <c r="N201" s="397"/>
      <c r="O201" s="337"/>
    </row>
    <row r="202" spans="2:15">
      <c r="B202" s="383"/>
      <c r="C202" s="371"/>
      <c r="D202" s="346" t="s">
        <v>227</v>
      </c>
      <c r="E202" s="28" t="s">
        <v>299</v>
      </c>
      <c r="F202" s="342">
        <f t="shared" ref="F202:M202" si="110">IF(F182=Arid,0,_xlfn.XLOOKUP(F201,Plant_and_seed_buy_water_names_CS,Plant_and_seed_water_buy_rates_CS))</f>
        <v>1200</v>
      </c>
      <c r="G202" s="342">
        <f t="shared" si="110"/>
        <v>1200</v>
      </c>
      <c r="H202" s="342">
        <f t="shared" si="110"/>
        <v>1200</v>
      </c>
      <c r="I202" s="342">
        <f t="shared" si="110"/>
        <v>1200</v>
      </c>
      <c r="J202" s="342">
        <f t="shared" si="110"/>
        <v>100</v>
      </c>
      <c r="K202" s="342">
        <f t="shared" si="110"/>
        <v>100</v>
      </c>
      <c r="L202" s="342">
        <f t="shared" si="110"/>
        <v>600</v>
      </c>
      <c r="M202" s="342">
        <f t="shared" si="110"/>
        <v>1200</v>
      </c>
      <c r="N202" s="397"/>
      <c r="O202" s="337" t="s">
        <v>395</v>
      </c>
    </row>
    <row r="203" spans="2:15">
      <c r="B203" s="383"/>
      <c r="C203" s="371"/>
      <c r="D203" s="384" t="s">
        <v>229</v>
      </c>
      <c r="E203" s="28" t="s">
        <v>329</v>
      </c>
      <c r="F203" s="414"/>
      <c r="G203" s="414"/>
      <c r="H203" s="414"/>
      <c r="I203" s="414"/>
      <c r="J203" s="414"/>
      <c r="K203" s="414"/>
      <c r="L203" s="414"/>
      <c r="M203" s="414"/>
      <c r="N203" s="397"/>
      <c r="O203" s="337"/>
    </row>
    <row r="204" spans="2:15">
      <c r="B204" s="386"/>
      <c r="C204" s="371"/>
      <c r="D204" s="346" t="s">
        <v>146</v>
      </c>
      <c r="E204" s="28" t="s">
        <v>207</v>
      </c>
      <c r="F204" s="387">
        <f>F$181*IF(F203="",F202,F203)</f>
        <v>0</v>
      </c>
      <c r="G204" s="387">
        <f t="shared" ref="G204" si="111">G$181*IF(G203="",G202,G203)</f>
        <v>0</v>
      </c>
      <c r="H204" s="387">
        <f t="shared" ref="H204" si="112">H$181*IF(H203="",H202,H203)</f>
        <v>0</v>
      </c>
      <c r="I204" s="387">
        <f t="shared" ref="I204" si="113">I$181*IF(I203="",I202,I203)</f>
        <v>0</v>
      </c>
      <c r="J204" s="387">
        <f t="shared" ref="J204" si="114">J$181*IF(J203="",J202,J203)</f>
        <v>0</v>
      </c>
      <c r="K204" s="387">
        <f t="shared" ref="K204" si="115">K$181*IF(K203="",K202,K203)</f>
        <v>0</v>
      </c>
      <c r="L204" s="387">
        <f t="shared" ref="L204" si="116">L$181*IF(L203="",L202,L203)</f>
        <v>0</v>
      </c>
      <c r="M204" s="387">
        <f t="shared" ref="M204" si="117">M$181*IF(M203="",M202,M203)</f>
        <v>0</v>
      </c>
      <c r="N204" s="397"/>
      <c r="O204" s="337"/>
    </row>
    <row r="205" spans="2:15" ht="56.25">
      <c r="B205" s="382" t="s">
        <v>396</v>
      </c>
      <c r="C205" s="371"/>
      <c r="D205" s="346" t="s">
        <v>357</v>
      </c>
      <c r="E205" s="28" t="s">
        <v>123</v>
      </c>
      <c r="F205" s="412" t="s">
        <v>397</v>
      </c>
      <c r="G205" s="412" t="s">
        <v>398</v>
      </c>
      <c r="H205" s="412" t="s">
        <v>399</v>
      </c>
      <c r="I205" s="412" t="s">
        <v>400</v>
      </c>
      <c r="J205" s="412" t="s">
        <v>401</v>
      </c>
      <c r="K205" s="412" t="s">
        <v>402</v>
      </c>
      <c r="L205" s="412" t="s">
        <v>403</v>
      </c>
      <c r="M205" s="412" t="s">
        <v>404</v>
      </c>
      <c r="N205" s="397"/>
      <c r="O205" s="337"/>
    </row>
    <row r="206" spans="2:15">
      <c r="B206" s="383"/>
      <c r="C206" s="371"/>
      <c r="D206" s="346" t="s">
        <v>227</v>
      </c>
      <c r="E206" s="28" t="s">
        <v>299</v>
      </c>
      <c r="F206" s="342">
        <f t="shared" ref="F206:M206" si="118">IF(F182=Arid,0,_xlfn.XLOOKUP(F205,Plant_and_seed_apply_water_names_CS,Plant_and_seed_apply_water_rates_CS))</f>
        <v>167.66666666666666</v>
      </c>
      <c r="G206" s="342">
        <f t="shared" si="118"/>
        <v>167.66666666666666</v>
      </c>
      <c r="H206" s="342">
        <f t="shared" si="118"/>
        <v>167.66666666666666</v>
      </c>
      <c r="I206" s="342">
        <f t="shared" si="118"/>
        <v>167.66666666666666</v>
      </c>
      <c r="J206" s="342">
        <f t="shared" si="118"/>
        <v>167.66666666666666</v>
      </c>
      <c r="K206" s="342">
        <f t="shared" si="118"/>
        <v>167.66666666666666</v>
      </c>
      <c r="L206" s="342">
        <f t="shared" si="118"/>
        <v>18.862500000000001</v>
      </c>
      <c r="M206" s="342">
        <f t="shared" si="118"/>
        <v>18.862500000000001</v>
      </c>
      <c r="N206" s="397"/>
      <c r="O206" s="337" t="s">
        <v>405</v>
      </c>
    </row>
    <row r="207" spans="2:15">
      <c r="B207" s="383"/>
      <c r="C207" s="371"/>
      <c r="D207" s="384" t="s">
        <v>229</v>
      </c>
      <c r="E207" s="28" t="s">
        <v>329</v>
      </c>
      <c r="F207" s="414"/>
      <c r="G207" s="414"/>
      <c r="H207" s="414"/>
      <c r="I207" s="414"/>
      <c r="J207" s="414"/>
      <c r="K207" s="414"/>
      <c r="L207" s="414"/>
      <c r="M207" s="414"/>
      <c r="N207" s="397"/>
      <c r="O207" s="337"/>
    </row>
    <row r="208" spans="2:15">
      <c r="B208" s="386"/>
      <c r="C208" s="377"/>
      <c r="D208" s="346" t="s">
        <v>146</v>
      </c>
      <c r="E208" s="28" t="s">
        <v>207</v>
      </c>
      <c r="F208" s="387">
        <f>F$181*IF(F207="",F206,F207)</f>
        <v>0</v>
      </c>
      <c r="G208" s="387">
        <f t="shared" ref="G208" si="119">G$181*IF(G207="",G206,G207)</f>
        <v>0</v>
      </c>
      <c r="H208" s="387">
        <f t="shared" ref="H208" si="120">H$181*IF(H207="",H206,H207)</f>
        <v>0</v>
      </c>
      <c r="I208" s="387">
        <f t="shared" ref="I208" si="121">I$181*IF(I207="",I206,I207)</f>
        <v>0</v>
      </c>
      <c r="J208" s="387">
        <f t="shared" ref="J208" si="122">J$181*IF(J207="",J206,J207)</f>
        <v>0</v>
      </c>
      <c r="K208" s="387">
        <f t="shared" ref="K208" si="123">K$181*IF(K207="",K206,K207)</f>
        <v>0</v>
      </c>
      <c r="L208" s="387">
        <f t="shared" ref="L208" si="124">L$181*IF(L207="",L206,L207)</f>
        <v>0</v>
      </c>
      <c r="M208" s="387">
        <f t="shared" ref="M208" si="125">M$181*IF(M207="",M206,M207)</f>
        <v>0</v>
      </c>
      <c r="N208" s="397"/>
      <c r="O208" s="337"/>
    </row>
    <row r="209" spans="2:15" ht="12" thickBot="1">
      <c r="B209" s="372"/>
      <c r="C209" s="373"/>
      <c r="D209" s="374" t="str">
        <f>B177</f>
        <v>Revegetate (user rates)</v>
      </c>
      <c r="E209" s="72"/>
      <c r="F209" s="365">
        <f>F188+F192+F196+F200+F204+F208</f>
        <v>0</v>
      </c>
      <c r="G209" s="365">
        <f t="shared" ref="G209:M209" si="126">G188+G192+G196+G200+G204+G208</f>
        <v>0</v>
      </c>
      <c r="H209" s="365">
        <f t="shared" si="126"/>
        <v>0</v>
      </c>
      <c r="I209" s="365">
        <f t="shared" si="126"/>
        <v>0</v>
      </c>
      <c r="J209" s="365">
        <f t="shared" si="126"/>
        <v>0</v>
      </c>
      <c r="K209" s="365">
        <f t="shared" si="126"/>
        <v>0</v>
      </c>
      <c r="L209" s="365">
        <f t="shared" si="126"/>
        <v>0</v>
      </c>
      <c r="M209" s="365">
        <f t="shared" si="126"/>
        <v>0</v>
      </c>
      <c r="N209" s="397"/>
      <c r="O209" s="337"/>
    </row>
    <row r="210" spans="2:15" ht="23.25" thickTop="1">
      <c r="B210" s="388" t="s">
        <v>406</v>
      </c>
      <c r="C210" s="352" t="s">
        <v>407</v>
      </c>
      <c r="D210" s="336" t="s">
        <v>311</v>
      </c>
      <c r="E210" s="28" t="s">
        <v>123</v>
      </c>
      <c r="F210" s="412" t="s">
        <v>408</v>
      </c>
      <c r="G210" s="412" t="s">
        <v>409</v>
      </c>
      <c r="H210" s="412" t="s">
        <v>410</v>
      </c>
      <c r="I210" s="412" t="s">
        <v>410</v>
      </c>
      <c r="J210" s="412" t="s">
        <v>410</v>
      </c>
      <c r="K210" s="412" t="s">
        <v>410</v>
      </c>
      <c r="L210" s="412" t="s">
        <v>410</v>
      </c>
      <c r="M210" s="412" t="s">
        <v>410</v>
      </c>
      <c r="N210" s="397"/>
      <c r="O210" s="337"/>
    </row>
    <row r="211" spans="2:15">
      <c r="B211" s="389"/>
      <c r="C211" s="354"/>
      <c r="D211" s="336" t="s">
        <v>202</v>
      </c>
      <c r="E211" s="28" t="s">
        <v>411</v>
      </c>
      <c r="F211" s="413"/>
      <c r="G211" s="413"/>
      <c r="H211" s="413"/>
      <c r="I211" s="413"/>
      <c r="J211" s="413"/>
      <c r="K211" s="413"/>
      <c r="L211" s="413"/>
      <c r="M211" s="413"/>
      <c r="N211" s="397"/>
      <c r="O211" s="337"/>
    </row>
    <row r="212" spans="2:15">
      <c r="B212" s="389"/>
      <c r="C212" s="354"/>
      <c r="D212" s="336" t="s">
        <v>204</v>
      </c>
      <c r="E212" s="28" t="s">
        <v>412</v>
      </c>
      <c r="F212" s="342">
        <f t="shared" ref="F212:M212" si="127">_xlfn.XLOOKUP(F210,Fencing_names_CS,Fencing_rates_CS)</f>
        <v>224970</v>
      </c>
      <c r="G212" s="342">
        <f t="shared" si="127"/>
        <v>275</v>
      </c>
      <c r="H212" s="342">
        <f t="shared" si="127"/>
        <v>16995</v>
      </c>
      <c r="I212" s="342">
        <f t="shared" si="127"/>
        <v>16995</v>
      </c>
      <c r="J212" s="342">
        <f t="shared" si="127"/>
        <v>16995</v>
      </c>
      <c r="K212" s="342">
        <f t="shared" si="127"/>
        <v>16995</v>
      </c>
      <c r="L212" s="342">
        <f t="shared" si="127"/>
        <v>16995</v>
      </c>
      <c r="M212" s="342">
        <f t="shared" si="127"/>
        <v>16995</v>
      </c>
      <c r="N212" s="397"/>
      <c r="O212" s="337"/>
    </row>
    <row r="213" spans="2:15">
      <c r="B213" s="389"/>
      <c r="C213" s="354"/>
      <c r="D213" s="336" t="s">
        <v>206</v>
      </c>
      <c r="E213" s="28" t="s">
        <v>412</v>
      </c>
      <c r="F213" s="414"/>
      <c r="G213" s="414"/>
      <c r="H213" s="414"/>
      <c r="I213" s="414"/>
      <c r="J213" s="414"/>
      <c r="K213" s="414"/>
      <c r="L213" s="414"/>
      <c r="M213" s="414"/>
      <c r="N213" s="397"/>
      <c r="O213" s="337"/>
    </row>
    <row r="214" spans="2:15">
      <c r="B214" s="390"/>
      <c r="C214" s="356"/>
      <c r="D214" s="336" t="s">
        <v>146</v>
      </c>
      <c r="E214" s="28" t="s">
        <v>207</v>
      </c>
      <c r="F214" s="344">
        <f t="shared" ref="F214:M214" si="128">F211*IF(F213="",F212,F213)</f>
        <v>0</v>
      </c>
      <c r="G214" s="344">
        <f t="shared" si="128"/>
        <v>0</v>
      </c>
      <c r="H214" s="344">
        <f t="shared" si="128"/>
        <v>0</v>
      </c>
      <c r="I214" s="344">
        <f t="shared" si="128"/>
        <v>0</v>
      </c>
      <c r="J214" s="344">
        <f t="shared" si="128"/>
        <v>0</v>
      </c>
      <c r="K214" s="344">
        <f t="shared" si="128"/>
        <v>0</v>
      </c>
      <c r="L214" s="344">
        <f t="shared" si="128"/>
        <v>0</v>
      </c>
      <c r="M214" s="344">
        <f t="shared" si="128"/>
        <v>0</v>
      </c>
      <c r="N214" s="397"/>
      <c r="O214" s="337"/>
    </row>
    <row r="215" spans="2:15">
      <c r="B215" s="391"/>
      <c r="C215" s="373"/>
      <c r="D215" s="374" t="str">
        <f>B210</f>
        <v>Remove and dispose / re-use fencing</v>
      </c>
      <c r="E215" s="62" t="s">
        <v>413</v>
      </c>
      <c r="F215" s="392">
        <f t="shared" ref="F215:M215" si="129">F214</f>
        <v>0</v>
      </c>
      <c r="G215" s="392">
        <f t="shared" si="129"/>
        <v>0</v>
      </c>
      <c r="H215" s="392">
        <f t="shared" si="129"/>
        <v>0</v>
      </c>
      <c r="I215" s="392">
        <f t="shared" si="129"/>
        <v>0</v>
      </c>
      <c r="J215" s="392">
        <f t="shared" si="129"/>
        <v>0</v>
      </c>
      <c r="K215" s="392">
        <f t="shared" si="129"/>
        <v>0</v>
      </c>
      <c r="L215" s="392">
        <f t="shared" si="129"/>
        <v>0</v>
      </c>
      <c r="M215" s="392">
        <f t="shared" si="129"/>
        <v>0</v>
      </c>
      <c r="N215" s="397"/>
      <c r="O215" s="337"/>
    </row>
  </sheetData>
  <sheetProtection algorithmName="SHA-512" hashValue="qe83bYrEfTjsIvRIubCFLruEkBnpLe1k/TWUrXEbbxyF83Y6gTSjEb31J99yNTgzNMAHaJLcP3jC/VRvSKCTyA==" saltValue="+xIJJFrOf4CdLc0c9j53JA==" spinCount="100000" sheet="1" objects="1" scenarios="1" autoFilter="0"/>
  <phoneticPr fontId="70" type="noConversion"/>
  <conditionalFormatting sqref="F13:M13">
    <cfRule type="notContainsBlanks" dxfId="397" priority="40">
      <formula>LEN(TRIM(F13))&gt;0</formula>
    </cfRule>
  </conditionalFormatting>
  <conditionalFormatting sqref="F25:M25">
    <cfRule type="notContainsBlanks" dxfId="396" priority="38">
      <formula>LEN(TRIM(F25))&gt;0</formula>
    </cfRule>
  </conditionalFormatting>
  <conditionalFormatting sqref="F29:M29">
    <cfRule type="notContainsBlanks" dxfId="395" priority="37">
      <formula>LEN(TRIM(F29))&gt;0</formula>
    </cfRule>
  </conditionalFormatting>
  <conditionalFormatting sqref="F33:M33">
    <cfRule type="notContainsBlanks" dxfId="394" priority="36">
      <formula>LEN(TRIM(F33))&gt;0</formula>
    </cfRule>
  </conditionalFormatting>
  <conditionalFormatting sqref="F39:M39">
    <cfRule type="notContainsBlanks" dxfId="393" priority="35">
      <formula>LEN(TRIM(F39))&gt;0</formula>
    </cfRule>
  </conditionalFormatting>
  <conditionalFormatting sqref="F43:M43">
    <cfRule type="notContainsBlanks" dxfId="392" priority="34">
      <formula>LEN(TRIM(F43))&gt;0</formula>
    </cfRule>
  </conditionalFormatting>
  <conditionalFormatting sqref="F47:M47">
    <cfRule type="notContainsBlanks" dxfId="391" priority="33">
      <formula>LEN(TRIM(F47))&gt;0</formula>
    </cfRule>
  </conditionalFormatting>
  <conditionalFormatting sqref="F51:M51">
    <cfRule type="notContainsBlanks" dxfId="390" priority="32">
      <formula>LEN(TRIM(F51))&gt;0</formula>
    </cfRule>
  </conditionalFormatting>
  <conditionalFormatting sqref="F55:M55">
    <cfRule type="notContainsBlanks" dxfId="389" priority="31">
      <formula>LEN(TRIM(F55))&gt;0</formula>
    </cfRule>
  </conditionalFormatting>
  <conditionalFormatting sqref="F63:M63">
    <cfRule type="notContainsBlanks" dxfId="388" priority="30">
      <formula>LEN(TRIM(F63))&gt;0</formula>
    </cfRule>
  </conditionalFormatting>
  <conditionalFormatting sqref="F75:M75">
    <cfRule type="notContainsBlanks" dxfId="387" priority="29">
      <formula>LEN(TRIM(F75))&gt;0</formula>
    </cfRule>
  </conditionalFormatting>
  <conditionalFormatting sqref="F79:M79">
    <cfRule type="notContainsBlanks" dxfId="386" priority="28">
      <formula>LEN(TRIM(F79))&gt;0</formula>
    </cfRule>
  </conditionalFormatting>
  <conditionalFormatting sqref="F83:M83">
    <cfRule type="notContainsBlanks" dxfId="385" priority="27">
      <formula>LEN(TRIM(F83))&gt;0</formula>
    </cfRule>
  </conditionalFormatting>
  <conditionalFormatting sqref="F89:M89">
    <cfRule type="notContainsBlanks" dxfId="384" priority="26">
      <formula>LEN(TRIM(F89))&gt;0</formula>
    </cfRule>
  </conditionalFormatting>
  <conditionalFormatting sqref="F93:M93">
    <cfRule type="notContainsBlanks" dxfId="383" priority="25">
      <formula>LEN(TRIM(F93))&gt;0</formula>
    </cfRule>
  </conditionalFormatting>
  <conditionalFormatting sqref="F97:M97">
    <cfRule type="notContainsBlanks" dxfId="382" priority="24">
      <formula>LEN(TRIM(F97))&gt;0</formula>
    </cfRule>
  </conditionalFormatting>
  <conditionalFormatting sqref="F101:M101">
    <cfRule type="notContainsBlanks" dxfId="381" priority="23">
      <formula>LEN(TRIM(F101))&gt;0</formula>
    </cfRule>
  </conditionalFormatting>
  <conditionalFormatting sqref="F109:M109">
    <cfRule type="notContainsBlanks" dxfId="380" priority="22">
      <formula>LEN(TRIM(F109))&gt;0</formula>
    </cfRule>
  </conditionalFormatting>
  <conditionalFormatting sqref="F113:M113">
    <cfRule type="notContainsBlanks" dxfId="379" priority="21">
      <formula>LEN(TRIM(F113))&gt;0</formula>
    </cfRule>
  </conditionalFormatting>
  <conditionalFormatting sqref="F117:M117">
    <cfRule type="notContainsBlanks" dxfId="378" priority="20">
      <formula>LEN(TRIM(F117))&gt;0</formula>
    </cfRule>
  </conditionalFormatting>
  <conditionalFormatting sqref="F121:M121">
    <cfRule type="notContainsBlanks" dxfId="377" priority="19">
      <formula>LEN(TRIM(F121))&gt;0</formula>
    </cfRule>
  </conditionalFormatting>
  <conditionalFormatting sqref="F127:M127">
    <cfRule type="notContainsBlanks" dxfId="376" priority="18">
      <formula>LEN(TRIM(F127))&gt;0</formula>
    </cfRule>
  </conditionalFormatting>
  <conditionalFormatting sqref="F131:M131">
    <cfRule type="notContainsBlanks" dxfId="375" priority="17">
      <formula>LEN(TRIM(F131))&gt;0</formula>
    </cfRule>
  </conditionalFormatting>
  <conditionalFormatting sqref="F145:M145">
    <cfRule type="notContainsBlanks" dxfId="374" priority="16">
      <formula>LEN(TRIM(F145))&gt;0</formula>
    </cfRule>
  </conditionalFormatting>
  <conditionalFormatting sqref="F157:M157">
    <cfRule type="notContainsBlanks" dxfId="373" priority="15">
      <formula>LEN(TRIM(F157))&gt;0</formula>
    </cfRule>
  </conditionalFormatting>
  <conditionalFormatting sqref="F161:M161">
    <cfRule type="notContainsBlanks" dxfId="372" priority="14">
      <formula>LEN(TRIM(F161))&gt;0</formula>
    </cfRule>
  </conditionalFormatting>
  <conditionalFormatting sqref="F164:M164">
    <cfRule type="notContainsBlanks" dxfId="371" priority="13">
      <formula>LEN(TRIM(F164))&gt;0</formula>
    </cfRule>
  </conditionalFormatting>
  <conditionalFormatting sqref="F174:M174">
    <cfRule type="notContainsBlanks" dxfId="370" priority="1">
      <formula>LEN(TRIM(F174))&gt;0</formula>
    </cfRule>
  </conditionalFormatting>
  <conditionalFormatting sqref="F185:M185">
    <cfRule type="notContainsBlanks" dxfId="369" priority="12">
      <formula>LEN(TRIM(F185))&gt;0</formula>
    </cfRule>
  </conditionalFormatting>
  <conditionalFormatting sqref="F191:M191">
    <cfRule type="notContainsBlanks" dxfId="368" priority="11">
      <formula>LEN(TRIM(F191))&gt;0</formula>
    </cfRule>
  </conditionalFormatting>
  <conditionalFormatting sqref="F195:M195">
    <cfRule type="notContainsBlanks" dxfId="367" priority="10">
      <formula>LEN(TRIM(F195))&gt;0</formula>
    </cfRule>
  </conditionalFormatting>
  <conditionalFormatting sqref="F199:M199">
    <cfRule type="notContainsBlanks" dxfId="366" priority="9">
      <formula>LEN(TRIM(F199))&gt;0</formula>
    </cfRule>
  </conditionalFormatting>
  <conditionalFormatting sqref="F203:M203">
    <cfRule type="notContainsBlanks" dxfId="365" priority="8">
      <formula>LEN(TRIM(F203))&gt;0</formula>
    </cfRule>
  </conditionalFormatting>
  <conditionalFormatting sqref="F207:M207">
    <cfRule type="notContainsBlanks" dxfId="364" priority="7">
      <formula>LEN(TRIM(F207))&gt;0</formula>
    </cfRule>
  </conditionalFormatting>
  <conditionalFormatting sqref="F213:M213">
    <cfRule type="notContainsBlanks" dxfId="363" priority="2">
      <formula>LEN(TRIM(F213))&gt;0</formula>
    </cfRule>
  </conditionalFormatting>
  <dataValidations count="15">
    <dataValidation type="list" allowBlank="1" showInputMessage="1" showErrorMessage="1" sqref="F31:M31 F81:M81" xr:uid="{201F26B3-2806-452B-89EF-37608BF6F3FA}">
      <formula1>Load_haul_fill_names_CS</formula1>
    </dataValidation>
    <dataValidation type="list" allowBlank="1" showInputMessage="1" showErrorMessage="1" sqref="O41 O91 O77 O27 F27:M27" xr:uid="{8A499D26-D7A4-4D64-916E-F8F505EC6220}">
      <formula1>Long_haul_distance_names_L</formula1>
    </dataValidation>
    <dataValidation type="list" allowBlank="1" showInputMessage="1" showErrorMessage="1" sqref="O35:O36 O85:O86 O21 O71 F99:M99 F85:M85 F35:M35" xr:uid="{508F193F-7E81-48B0-8AB0-4A85A1FFFBA9}">
      <formula1>Yes_No_NA</formula1>
    </dataValidation>
    <dataValidation type="list" allowBlank="1" showInputMessage="1" showErrorMessage="1" sqref="F91:M91 F77:M77 F41:M41" xr:uid="{1B5F5E57-7FD6-4F74-BE90-8311C03B398A}">
      <formula1>Long_haul_concrete_plug_distances_CS</formula1>
    </dataValidation>
    <dataValidation type="list" allowBlank="1" showInputMessage="1" showErrorMessage="1" sqref="F143:M143" xr:uid="{F7E6B6FF-FC38-471C-9AD6-7E60A0A310EE}">
      <formula1>Load_haul_soil_names_CS</formula1>
    </dataValidation>
    <dataValidation type="list" allowBlank="1" showInputMessage="1" showErrorMessage="1" sqref="F182:M182" xr:uid="{6C243A17-B51F-479E-9BB2-0DEC7BC45D09}">
      <formula1>Plant_and_seed_list_L</formula1>
    </dataValidation>
    <dataValidation type="list" allowBlank="1" showInputMessage="1" showErrorMessage="1" sqref="F189:M189" xr:uid="{544C7F1F-1949-4FA3-86DE-34D1EF0A07C1}">
      <formula1>Plant_and_seed_apply_plant_names_CS</formula1>
    </dataValidation>
    <dataValidation type="list" allowBlank="1" showInputMessage="1" showErrorMessage="1" sqref="F193:M193" xr:uid="{9FD1EE91-236B-4C7F-BC97-E5122F012C5A}">
      <formula1>Plant_and_seed_fertiliser_buy_names_CS</formula1>
    </dataValidation>
    <dataValidation type="list" allowBlank="1" showInputMessage="1" showErrorMessage="1" sqref="F197:M197" xr:uid="{8EDE3F6C-65E8-465A-BDAA-47BFDBB2F7BE}">
      <formula1>Plant_and_seed_apply_fertiliser_names_CS</formula1>
    </dataValidation>
    <dataValidation type="list" allowBlank="1" showInputMessage="1" showErrorMessage="1" sqref="F201:M201" xr:uid="{B6F88A4C-1694-4F49-96A0-0FBFE67426EB}">
      <formula1>Plant_and_seed_buy_water_names_CS</formula1>
    </dataValidation>
    <dataValidation type="list" allowBlank="1" showInputMessage="1" showErrorMessage="1" sqref="F205:M205" xr:uid="{232487C0-EA82-40BB-B380-BA96E798D209}">
      <formula1>Plant_and_seed_apply_water_names_CS</formula1>
    </dataValidation>
    <dataValidation type="list" allowBlank="1" showInputMessage="1" showErrorMessage="1" sqref="F159:M159" xr:uid="{2289184E-C9A3-4F7F-B8A2-A005A401A11A}">
      <formula1>Long_haul_soil_amend_names_volume_CS</formula1>
    </dataValidation>
    <dataValidation type="list" allowBlank="1" showInputMessage="1" showErrorMessage="1" sqref="F153:M153" xr:uid="{CF9BA3E3-7EBB-4E52-B6F2-2ABB0B385EF5}">
      <formula1>Ameliorants_soil_L</formula1>
    </dataValidation>
    <dataValidation type="list" allowBlank="1" showInputMessage="1" showErrorMessage="1" sqref="F210:M210" xr:uid="{75169EF2-A31B-44BC-B500-1EDEE35F6CCE}">
      <formula1>Fencing_names_CS</formula1>
    </dataValidation>
    <dataValidation type="list" allowBlank="1" showInputMessage="1" showErrorMessage="1" sqref="F172:M172" xr:uid="{9FA6F265-5928-4E6B-8C97-F6EB213B888D}">
      <formula1>Plant_and_seed_names_CS</formula1>
    </dataValidation>
  </dataValidations>
  <hyperlinks>
    <hyperlink ref="D5" location="RCE_Summary" display="RCE Summary" xr:uid="{68806F3C-944D-4D8A-8CF8-5DBF846DCEE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29190-435F-4667-861F-96FE2BCDFA6A}">
  <sheetPr codeName="Sheet6" filterMode="1">
    <tabColor theme="9" tint="-0.249977111117893"/>
  </sheetPr>
  <dimension ref="B2:R435"/>
  <sheetViews>
    <sheetView showGridLines="0" zoomScaleNormal="100" workbookViewId="0">
      <pane xSplit="6" ySplit="8" topLeftCell="G174" activePane="bottomRight" state="frozen"/>
      <selection pane="topRight" activeCell="H1" sqref="H1"/>
      <selection pane="bottomLeft" activeCell="A9" sqref="A9"/>
      <selection pane="bottomRight" activeCell="G186" sqref="G186"/>
    </sheetView>
  </sheetViews>
  <sheetFormatPr defaultColWidth="9.140625" defaultRowHeight="11.25"/>
  <cols>
    <col min="1" max="1" width="1.5703125" style="28" customWidth="1"/>
    <col min="2" max="2" width="7.5703125" style="28" customWidth="1"/>
    <col min="3" max="3" width="34.85546875" style="28" customWidth="1"/>
    <col min="4" max="4" width="23" style="28" bestFit="1" customWidth="1"/>
    <col min="5" max="5" width="37.42578125" style="28" customWidth="1"/>
    <col min="6" max="6" width="9.5703125" style="28" bestFit="1" customWidth="1"/>
    <col min="7" max="16" width="13.28515625" style="3" customWidth="1"/>
    <col min="17" max="18" width="74.7109375" style="28" customWidth="1"/>
    <col min="19" max="19" width="34.5703125" style="28" customWidth="1"/>
    <col min="20" max="20" width="36.7109375" style="28" customWidth="1"/>
    <col min="21" max="16384" width="9.140625" style="28"/>
  </cols>
  <sheetData>
    <row r="2" spans="3:18" ht="24.95" customHeight="1">
      <c r="C2" s="317" t="str">
        <f>Name_main</f>
        <v>Rehabilitation Cost Estimate Tool - Mining New South Wales</v>
      </c>
    </row>
    <row r="3" spans="3:18" ht="15.95" customHeight="1">
      <c r="C3" s="416" t="str">
        <f>CONCATENATE(CompanyName," - ",Mine_Name)</f>
        <v>Boral Cement - Marulan South Limestone Mine</v>
      </c>
      <c r="Q3" s="3"/>
      <c r="R3" s="3"/>
    </row>
    <row r="4" spans="3:18" ht="15.95" customHeight="1" thickBot="1">
      <c r="C4" s="319" t="s">
        <v>182</v>
      </c>
      <c r="D4" s="320">
        <f>Grand_total</f>
        <v>27655414.430474937</v>
      </c>
      <c r="Q4" s="3"/>
      <c r="R4" s="3"/>
    </row>
    <row r="5" spans="3:18" ht="15.95" customHeight="1" thickTop="1" thickBot="1">
      <c r="C5" s="321" t="s">
        <v>414</v>
      </c>
      <c r="D5" s="417">
        <f>SUM(G5:P5)</f>
        <v>5086797.4110966874</v>
      </c>
      <c r="E5" s="393" t="s">
        <v>1</v>
      </c>
      <c r="F5" s="323" t="s">
        <v>184</v>
      </c>
      <c r="G5" s="324">
        <f t="shared" ref="G5:P5" si="0">G15+G21+G53+G72+G78+G88+G103+G109+G116+G122+G132+G138+G143+G149+G169+G184+G190+G211+G228+G234+G270+G300+G331+G348+G372+G410+G427</f>
        <v>4028474.5007880861</v>
      </c>
      <c r="H5" s="324">
        <f t="shared" si="0"/>
        <v>978696.26204659464</v>
      </c>
      <c r="I5" s="324">
        <f t="shared" si="0"/>
        <v>56297.599957661878</v>
      </c>
      <c r="J5" s="324">
        <f t="shared" si="0"/>
        <v>8464.5660431355209</v>
      </c>
      <c r="K5" s="324">
        <f t="shared" si="0"/>
        <v>14864.482261208577</v>
      </c>
      <c r="L5" s="324">
        <f t="shared" si="0"/>
        <v>0</v>
      </c>
      <c r="M5" s="324">
        <f t="shared" si="0"/>
        <v>0</v>
      </c>
      <c r="N5" s="324">
        <f t="shared" si="0"/>
        <v>0</v>
      </c>
      <c r="O5" s="324">
        <f t="shared" si="0"/>
        <v>0</v>
      </c>
      <c r="P5" s="324">
        <f t="shared" si="0"/>
        <v>0</v>
      </c>
    </row>
    <row r="6" spans="3:18" ht="15.95" customHeight="1" thickTop="1">
      <c r="G6" s="28"/>
      <c r="H6" s="28"/>
      <c r="I6" s="28"/>
      <c r="J6" s="28"/>
      <c r="K6" s="28"/>
      <c r="L6" s="28"/>
      <c r="M6" s="28"/>
      <c r="N6" s="28"/>
      <c r="O6" s="28"/>
      <c r="P6" s="28"/>
    </row>
    <row r="7" spans="3:18" ht="34.5" thickBot="1">
      <c r="C7" s="325" t="s">
        <v>185</v>
      </c>
      <c r="D7" s="326" t="s">
        <v>186</v>
      </c>
      <c r="E7" s="326" t="s">
        <v>187</v>
      </c>
      <c r="F7" s="81" t="s">
        <v>415</v>
      </c>
      <c r="G7" s="453" t="s">
        <v>416</v>
      </c>
      <c r="H7" s="453" t="s">
        <v>416</v>
      </c>
      <c r="I7" s="453" t="s">
        <v>416</v>
      </c>
      <c r="J7" s="453" t="s">
        <v>416</v>
      </c>
      <c r="K7" s="453" t="s">
        <v>416</v>
      </c>
      <c r="L7" s="453" t="s">
        <v>417</v>
      </c>
      <c r="M7" s="453" t="s">
        <v>417</v>
      </c>
      <c r="N7" s="453" t="s">
        <v>417</v>
      </c>
      <c r="O7" s="453" t="s">
        <v>417</v>
      </c>
      <c r="P7" s="453" t="s">
        <v>417</v>
      </c>
      <c r="Q7" s="327" t="s">
        <v>190</v>
      </c>
      <c r="R7" s="328" t="s">
        <v>191</v>
      </c>
    </row>
    <row r="8" spans="3:18">
      <c r="C8" s="452" t="s">
        <v>124</v>
      </c>
      <c r="D8" s="401"/>
      <c r="E8" s="401"/>
      <c r="G8" s="401"/>
      <c r="H8" s="401"/>
      <c r="I8" s="401"/>
      <c r="J8" s="401"/>
      <c r="K8" s="401"/>
      <c r="L8" s="401"/>
      <c r="M8" s="401"/>
      <c r="N8" s="401"/>
      <c r="O8" s="401"/>
      <c r="P8" s="401"/>
      <c r="Q8" s="401"/>
      <c r="R8" s="329"/>
    </row>
    <row r="9" spans="3:18" ht="45">
      <c r="C9" s="330" t="s">
        <v>192</v>
      </c>
      <c r="D9" s="331" t="s">
        <v>418</v>
      </c>
      <c r="E9" s="332" t="s">
        <v>194</v>
      </c>
      <c r="G9" s="401" t="s">
        <v>419</v>
      </c>
      <c r="H9" s="401" t="s">
        <v>419</v>
      </c>
      <c r="I9" s="401" t="s">
        <v>419</v>
      </c>
      <c r="J9" s="401" t="s">
        <v>419</v>
      </c>
      <c r="K9" s="401" t="s">
        <v>419</v>
      </c>
      <c r="L9" s="401"/>
      <c r="M9" s="401"/>
      <c r="N9" s="401"/>
      <c r="O9" s="401"/>
      <c r="P9" s="401"/>
      <c r="Q9" s="401"/>
      <c r="R9" s="418" t="s">
        <v>195</v>
      </c>
    </row>
    <row r="10" spans="3:18" ht="33.75">
      <c r="C10" s="419" t="s">
        <v>420</v>
      </c>
      <c r="D10" s="352" t="s">
        <v>407</v>
      </c>
      <c r="E10" s="336" t="s">
        <v>311</v>
      </c>
      <c r="F10" s="28" t="s">
        <v>123</v>
      </c>
      <c r="G10" s="412" t="s">
        <v>421</v>
      </c>
      <c r="H10" s="412" t="s">
        <v>422</v>
      </c>
      <c r="I10" s="412" t="s">
        <v>422</v>
      </c>
      <c r="J10" s="412" t="s">
        <v>423</v>
      </c>
      <c r="K10" s="412" t="s">
        <v>423</v>
      </c>
      <c r="L10" s="412" t="s">
        <v>423</v>
      </c>
      <c r="M10" s="412" t="s">
        <v>423</v>
      </c>
      <c r="N10" s="412" t="s">
        <v>423</v>
      </c>
      <c r="O10" s="412" t="s">
        <v>423</v>
      </c>
      <c r="P10" s="412" t="s">
        <v>423</v>
      </c>
      <c r="Q10" s="397"/>
      <c r="R10" s="420"/>
    </row>
    <row r="11" spans="3:18">
      <c r="C11" s="389"/>
      <c r="D11" s="354"/>
      <c r="E11" s="336" t="s">
        <v>202</v>
      </c>
      <c r="G11" s="413">
        <v>1</v>
      </c>
      <c r="H11" s="413"/>
      <c r="I11" s="413"/>
      <c r="J11" s="413"/>
      <c r="K11" s="413"/>
      <c r="L11" s="413"/>
      <c r="M11" s="413"/>
      <c r="N11" s="413"/>
      <c r="O11" s="413"/>
      <c r="P11" s="413"/>
      <c r="Q11" s="397"/>
      <c r="R11" s="420"/>
    </row>
    <row r="12" spans="3:18">
      <c r="C12" s="389"/>
      <c r="D12" s="354"/>
      <c r="E12" s="336" t="s">
        <v>204</v>
      </c>
      <c r="F12" s="28" t="s">
        <v>205</v>
      </c>
      <c r="G12" s="342">
        <f t="shared" ref="G12:P12" si="1">_xlfn.XLOOKUP(G10,Utilities_names_CS,Utilities_rates_CS)</f>
        <v>35223.858822378752</v>
      </c>
      <c r="H12" s="342">
        <f t="shared" si="1"/>
        <v>6300.8164703964585</v>
      </c>
      <c r="I12" s="342">
        <f t="shared" si="1"/>
        <v>6300.8164703964585</v>
      </c>
      <c r="J12" s="342">
        <f t="shared" si="1"/>
        <v>51703.623526343334</v>
      </c>
      <c r="K12" s="342">
        <f t="shared" si="1"/>
        <v>51703.623526343334</v>
      </c>
      <c r="L12" s="342">
        <f t="shared" si="1"/>
        <v>51703.623526343334</v>
      </c>
      <c r="M12" s="342">
        <f t="shared" si="1"/>
        <v>51703.623526343334</v>
      </c>
      <c r="N12" s="342">
        <f t="shared" si="1"/>
        <v>51703.623526343334</v>
      </c>
      <c r="O12" s="342">
        <f t="shared" si="1"/>
        <v>51703.623526343334</v>
      </c>
      <c r="P12" s="342">
        <f t="shared" si="1"/>
        <v>51703.623526343334</v>
      </c>
      <c r="Q12" s="397"/>
      <c r="R12" s="420"/>
    </row>
    <row r="13" spans="3:18">
      <c r="C13" s="389"/>
      <c r="D13" s="354"/>
      <c r="E13" s="336" t="s">
        <v>206</v>
      </c>
      <c r="F13" s="28" t="s">
        <v>205</v>
      </c>
      <c r="G13" s="414"/>
      <c r="H13" s="414"/>
      <c r="I13" s="414"/>
      <c r="J13" s="414"/>
      <c r="K13" s="414"/>
      <c r="L13" s="414"/>
      <c r="M13" s="414"/>
      <c r="N13" s="414"/>
      <c r="O13" s="414"/>
      <c r="P13" s="414"/>
      <c r="Q13" s="397"/>
      <c r="R13" s="420"/>
    </row>
    <row r="14" spans="3:18">
      <c r="C14" s="390"/>
      <c r="D14" s="356"/>
      <c r="E14" s="336" t="s">
        <v>146</v>
      </c>
      <c r="F14" s="28" t="s">
        <v>207</v>
      </c>
      <c r="G14" s="344">
        <f t="shared" ref="G14:P14" si="2">G11*IF(G13="",G12,G13)</f>
        <v>35223.858822378752</v>
      </c>
      <c r="H14" s="344">
        <f t="shared" si="2"/>
        <v>0</v>
      </c>
      <c r="I14" s="344">
        <f t="shared" si="2"/>
        <v>0</v>
      </c>
      <c r="J14" s="344">
        <f t="shared" si="2"/>
        <v>0</v>
      </c>
      <c r="K14" s="344">
        <f t="shared" si="2"/>
        <v>0</v>
      </c>
      <c r="L14" s="344">
        <f t="shared" si="2"/>
        <v>0</v>
      </c>
      <c r="M14" s="344">
        <f t="shared" si="2"/>
        <v>0</v>
      </c>
      <c r="N14" s="344">
        <f t="shared" si="2"/>
        <v>0</v>
      </c>
      <c r="O14" s="344">
        <f t="shared" si="2"/>
        <v>0</v>
      </c>
      <c r="P14" s="344">
        <f t="shared" si="2"/>
        <v>0</v>
      </c>
      <c r="Q14" s="397"/>
      <c r="R14" s="420"/>
    </row>
    <row r="15" spans="3:18">
      <c r="C15" s="391"/>
      <c r="D15" s="373"/>
      <c r="E15" s="374" t="str">
        <f>C10</f>
        <v>Disconnect services (all)</v>
      </c>
      <c r="F15" s="62" t="s">
        <v>413</v>
      </c>
      <c r="G15" s="392">
        <f t="shared" ref="G15:P15" si="3">G14</f>
        <v>35223.858822378752</v>
      </c>
      <c r="H15" s="392">
        <f t="shared" si="3"/>
        <v>0</v>
      </c>
      <c r="I15" s="392">
        <f t="shared" si="3"/>
        <v>0</v>
      </c>
      <c r="J15" s="392">
        <f t="shared" si="3"/>
        <v>0</v>
      </c>
      <c r="K15" s="392">
        <f t="shared" si="3"/>
        <v>0</v>
      </c>
      <c r="L15" s="392">
        <f t="shared" si="3"/>
        <v>0</v>
      </c>
      <c r="M15" s="392">
        <f t="shared" si="3"/>
        <v>0</v>
      </c>
      <c r="N15" s="392">
        <f t="shared" si="3"/>
        <v>0</v>
      </c>
      <c r="O15" s="392">
        <f t="shared" si="3"/>
        <v>0</v>
      </c>
      <c r="P15" s="392">
        <f t="shared" si="3"/>
        <v>0</v>
      </c>
      <c r="Q15" s="397"/>
      <c r="R15" s="420"/>
    </row>
    <row r="16" spans="3:18" ht="33.75">
      <c r="C16" s="419" t="s">
        <v>406</v>
      </c>
      <c r="D16" s="352" t="s">
        <v>407</v>
      </c>
      <c r="E16" s="336" t="s">
        <v>311</v>
      </c>
      <c r="F16" s="28" t="s">
        <v>123</v>
      </c>
      <c r="G16" s="412" t="s">
        <v>424</v>
      </c>
      <c r="H16" s="412" t="s">
        <v>410</v>
      </c>
      <c r="I16" s="412" t="s">
        <v>410</v>
      </c>
      <c r="J16" s="412" t="s">
        <v>410</v>
      </c>
      <c r="K16" s="412" t="s">
        <v>410</v>
      </c>
      <c r="L16" s="412" t="s">
        <v>410</v>
      </c>
      <c r="M16" s="412" t="s">
        <v>410</v>
      </c>
      <c r="N16" s="412" t="s">
        <v>410</v>
      </c>
      <c r="O16" s="412" t="s">
        <v>410</v>
      </c>
      <c r="P16" s="412" t="s">
        <v>410</v>
      </c>
      <c r="Q16" s="397"/>
      <c r="R16" s="420"/>
    </row>
    <row r="17" spans="3:18">
      <c r="C17" s="389"/>
      <c r="D17" s="354"/>
      <c r="E17" s="336" t="s">
        <v>202</v>
      </c>
      <c r="F17" s="28" t="s">
        <v>411</v>
      </c>
      <c r="G17" s="413"/>
      <c r="H17" s="413"/>
      <c r="I17" s="413"/>
      <c r="J17" s="413"/>
      <c r="K17" s="413"/>
      <c r="L17" s="413"/>
      <c r="M17" s="413"/>
      <c r="N17" s="413"/>
      <c r="O17" s="413"/>
      <c r="P17" s="413"/>
      <c r="Q17" s="397"/>
      <c r="R17" s="420"/>
    </row>
    <row r="18" spans="3:18">
      <c r="C18" s="389"/>
      <c r="D18" s="354"/>
      <c r="E18" s="336" t="s">
        <v>204</v>
      </c>
      <c r="F18" s="28" t="s">
        <v>412</v>
      </c>
      <c r="G18" s="342">
        <f t="shared" ref="G18:P18" si="4">_xlfn.XLOOKUP(G16,Fencing_names_CS,Fencing_rates_CS)</f>
        <v>22000</v>
      </c>
      <c r="H18" s="342">
        <f t="shared" si="4"/>
        <v>16995</v>
      </c>
      <c r="I18" s="342">
        <f t="shared" si="4"/>
        <v>16995</v>
      </c>
      <c r="J18" s="342">
        <f t="shared" si="4"/>
        <v>16995</v>
      </c>
      <c r="K18" s="342">
        <f t="shared" si="4"/>
        <v>16995</v>
      </c>
      <c r="L18" s="342">
        <f t="shared" si="4"/>
        <v>16995</v>
      </c>
      <c r="M18" s="342">
        <f t="shared" si="4"/>
        <v>16995</v>
      </c>
      <c r="N18" s="342">
        <f t="shared" si="4"/>
        <v>16995</v>
      </c>
      <c r="O18" s="342">
        <f t="shared" si="4"/>
        <v>16995</v>
      </c>
      <c r="P18" s="342">
        <f t="shared" si="4"/>
        <v>16995</v>
      </c>
      <c r="Q18" s="397"/>
      <c r="R18" s="420"/>
    </row>
    <row r="19" spans="3:18">
      <c r="C19" s="389"/>
      <c r="D19" s="354"/>
      <c r="E19" s="336" t="s">
        <v>206</v>
      </c>
      <c r="F19" s="28" t="s">
        <v>412</v>
      </c>
      <c r="G19" s="414"/>
      <c r="H19" s="414"/>
      <c r="I19" s="414"/>
      <c r="J19" s="414"/>
      <c r="K19" s="414"/>
      <c r="L19" s="414"/>
      <c r="M19" s="414"/>
      <c r="N19" s="414"/>
      <c r="O19" s="414"/>
      <c r="P19" s="414"/>
      <c r="Q19" s="397"/>
      <c r="R19" s="420"/>
    </row>
    <row r="20" spans="3:18">
      <c r="C20" s="390"/>
      <c r="D20" s="356"/>
      <c r="E20" s="336" t="s">
        <v>146</v>
      </c>
      <c r="F20" s="28" t="s">
        <v>207</v>
      </c>
      <c r="G20" s="344">
        <f t="shared" ref="G20:P20" si="5">G17*IF(G19="",G18,G19)</f>
        <v>0</v>
      </c>
      <c r="H20" s="344">
        <f t="shared" si="5"/>
        <v>0</v>
      </c>
      <c r="I20" s="344">
        <f t="shared" si="5"/>
        <v>0</v>
      </c>
      <c r="J20" s="344">
        <f t="shared" si="5"/>
        <v>0</v>
      </c>
      <c r="K20" s="344">
        <f t="shared" si="5"/>
        <v>0</v>
      </c>
      <c r="L20" s="344">
        <f t="shared" si="5"/>
        <v>0</v>
      </c>
      <c r="M20" s="344">
        <f t="shared" si="5"/>
        <v>0</v>
      </c>
      <c r="N20" s="344">
        <f t="shared" si="5"/>
        <v>0</v>
      </c>
      <c r="O20" s="344">
        <f t="shared" si="5"/>
        <v>0</v>
      </c>
      <c r="P20" s="344">
        <f t="shared" si="5"/>
        <v>0</v>
      </c>
      <c r="Q20" s="397"/>
      <c r="R20" s="420"/>
    </row>
    <row r="21" spans="3:18">
      <c r="C21" s="391"/>
      <c r="D21" s="373"/>
      <c r="E21" s="374" t="str">
        <f>C16</f>
        <v>Remove and dispose / re-use fencing</v>
      </c>
      <c r="F21" s="62" t="s">
        <v>413</v>
      </c>
      <c r="G21" s="392">
        <f t="shared" ref="G21:P21" si="6">G20</f>
        <v>0</v>
      </c>
      <c r="H21" s="392">
        <f t="shared" si="6"/>
        <v>0</v>
      </c>
      <c r="I21" s="392">
        <f t="shared" si="6"/>
        <v>0</v>
      </c>
      <c r="J21" s="392">
        <f t="shared" si="6"/>
        <v>0</v>
      </c>
      <c r="K21" s="392">
        <f t="shared" si="6"/>
        <v>0</v>
      </c>
      <c r="L21" s="392">
        <f t="shared" si="6"/>
        <v>0</v>
      </c>
      <c r="M21" s="392">
        <f t="shared" si="6"/>
        <v>0</v>
      </c>
      <c r="N21" s="392">
        <f t="shared" si="6"/>
        <v>0</v>
      </c>
      <c r="O21" s="392">
        <f t="shared" si="6"/>
        <v>0</v>
      </c>
      <c r="P21" s="392">
        <f t="shared" si="6"/>
        <v>0</v>
      </c>
      <c r="Q21" s="397"/>
      <c r="R21" s="420"/>
    </row>
    <row r="22" spans="3:18" ht="45">
      <c r="C22" s="421" t="s">
        <v>425</v>
      </c>
      <c r="D22" s="352"/>
      <c r="E22" s="335" t="s">
        <v>426</v>
      </c>
      <c r="F22" s="28" t="s">
        <v>123</v>
      </c>
      <c r="G22" s="412" t="s">
        <v>427</v>
      </c>
      <c r="H22" s="412" t="s">
        <v>428</v>
      </c>
      <c r="I22" s="412" t="s">
        <v>428</v>
      </c>
      <c r="J22" s="412" t="s">
        <v>427</v>
      </c>
      <c r="K22" s="412" t="s">
        <v>427</v>
      </c>
      <c r="L22" s="412" t="s">
        <v>427</v>
      </c>
      <c r="M22" s="412" t="s">
        <v>427</v>
      </c>
      <c r="N22" s="412" t="s">
        <v>427</v>
      </c>
      <c r="O22" s="412" t="s">
        <v>427</v>
      </c>
      <c r="P22" s="412" t="s">
        <v>427</v>
      </c>
      <c r="Q22" s="397"/>
      <c r="R22" s="420"/>
    </row>
    <row r="23" spans="3:18">
      <c r="C23" s="353"/>
      <c r="D23" s="354"/>
      <c r="E23" s="335" t="s">
        <v>345</v>
      </c>
      <c r="F23" s="28" t="s">
        <v>123</v>
      </c>
      <c r="G23" s="412" t="s">
        <v>429</v>
      </c>
      <c r="H23" s="412" t="s">
        <v>429</v>
      </c>
      <c r="I23" s="412" t="s">
        <v>429</v>
      </c>
      <c r="J23" s="412" t="s">
        <v>430</v>
      </c>
      <c r="K23" s="412" t="s">
        <v>430</v>
      </c>
      <c r="L23" s="412" t="s">
        <v>430</v>
      </c>
      <c r="M23" s="412" t="s">
        <v>430</v>
      </c>
      <c r="N23" s="412" t="s">
        <v>430</v>
      </c>
      <c r="O23" s="412" t="s">
        <v>430</v>
      </c>
      <c r="P23" s="412" t="s">
        <v>430</v>
      </c>
      <c r="Q23" s="397"/>
      <c r="R23" s="420"/>
    </row>
    <row r="24" spans="3:18">
      <c r="C24" s="353"/>
      <c r="D24" s="354"/>
      <c r="E24" s="335" t="s">
        <v>431</v>
      </c>
      <c r="F24" s="28" t="s">
        <v>123</v>
      </c>
      <c r="G24" s="412" t="s">
        <v>214</v>
      </c>
      <c r="H24" s="412" t="s">
        <v>214</v>
      </c>
      <c r="I24" s="412" t="s">
        <v>214</v>
      </c>
      <c r="J24" s="412" t="s">
        <v>214</v>
      </c>
      <c r="K24" s="412" t="s">
        <v>214</v>
      </c>
      <c r="L24" s="412" t="s">
        <v>214</v>
      </c>
      <c r="M24" s="412" t="s">
        <v>214</v>
      </c>
      <c r="N24" s="412" t="s">
        <v>214</v>
      </c>
      <c r="O24" s="412" t="s">
        <v>214</v>
      </c>
      <c r="P24" s="412" t="s">
        <v>214</v>
      </c>
      <c r="Q24" s="397"/>
      <c r="R24" s="420"/>
    </row>
    <row r="25" spans="3:18">
      <c r="C25" s="353"/>
      <c r="D25" s="354"/>
      <c r="E25" s="335" t="s">
        <v>432</v>
      </c>
      <c r="F25" s="28" t="s">
        <v>433</v>
      </c>
      <c r="G25" s="454">
        <v>16.2</v>
      </c>
      <c r="H25" s="454"/>
      <c r="I25" s="454"/>
      <c r="J25" s="454"/>
      <c r="K25" s="454"/>
      <c r="L25" s="454"/>
      <c r="M25" s="454"/>
      <c r="N25" s="454"/>
      <c r="O25" s="454"/>
      <c r="P25" s="454"/>
      <c r="Q25" s="397"/>
      <c r="R25" s="420"/>
    </row>
    <row r="26" spans="3:18">
      <c r="C26" s="353"/>
      <c r="D26" s="354"/>
      <c r="E26" s="335" t="s">
        <v>434</v>
      </c>
      <c r="F26" s="28" t="s">
        <v>353</v>
      </c>
      <c r="G26" s="422" t="str">
        <f t="shared" ref="G26:P26" si="7">IF(G24=Length,km,ha)</f>
        <v>ha</v>
      </c>
      <c r="H26" s="422" t="str">
        <f t="shared" si="7"/>
        <v>ha</v>
      </c>
      <c r="I26" s="422" t="str">
        <f t="shared" si="7"/>
        <v>ha</v>
      </c>
      <c r="J26" s="422" t="str">
        <f t="shared" si="7"/>
        <v>ha</v>
      </c>
      <c r="K26" s="422" t="str">
        <f t="shared" si="7"/>
        <v>ha</v>
      </c>
      <c r="L26" s="422" t="str">
        <f t="shared" si="7"/>
        <v>ha</v>
      </c>
      <c r="M26" s="422" t="str">
        <f t="shared" si="7"/>
        <v>ha</v>
      </c>
      <c r="N26" s="422" t="str">
        <f t="shared" si="7"/>
        <v>ha</v>
      </c>
      <c r="O26" s="422" t="str">
        <f t="shared" si="7"/>
        <v>ha</v>
      </c>
      <c r="P26" s="422" t="str">
        <f t="shared" si="7"/>
        <v>ha</v>
      </c>
      <c r="Q26" s="397"/>
      <c r="R26" s="420"/>
    </row>
    <row r="27" spans="3:18">
      <c r="C27" s="353"/>
      <c r="D27" s="354"/>
      <c r="E27" s="346" t="s">
        <v>204</v>
      </c>
      <c r="F27" s="28" t="str">
        <f>CONCATENATE("$/shown unit")</f>
        <v>$/shown unit</v>
      </c>
      <c r="G27" s="342">
        <f t="shared" ref="G27:P27" si="8">IF(AND(G24=Length,G23=Pasture),_xlfn.XLOOKUP(G22,Haul_roads_length_pasture_names_CS,Haul_roads_length_pasture_rates_CS),IF(AND(G24=Length,G23=Native),_xlfn.XLOOKUP(G22,Haul_roads_length_native_names_CS,Haul_roads_length_native_rates_CS),IF(AND(G24=Length,G23=Arid),_xlfn.XLOOKUP(G22,Haul_roads_length_arid_names_CS,Haul_roads_length_arid_rates_CS),IF(AND(G24=Area,G23=Pasture),_xlfn.XLOOKUP(G22,Haul_roads_area_pasture_names_CS,Haul_roads_area_pasture_rates_CS),IF(AND(G24=Area,G23=Native),_xlfn.XLOOKUP(G22,Haul_roads_area_native_names_CS,Haul_roads_area_native_rates_CS),IF(AND(G24=Area,G23=Arid),_xlfn.XLOOKUP(G22,Haul_roads_area_arid_names_CS,Haul_roads_area_arid_rates_CS)))))))</f>
        <v>23378.118124023549</v>
      </c>
      <c r="H27" s="342">
        <f t="shared" si="8"/>
        <v>7244.4486770837129</v>
      </c>
      <c r="I27" s="342">
        <f t="shared" si="8"/>
        <v>7244.4486770837129</v>
      </c>
      <c r="J27" s="342">
        <f t="shared" si="8"/>
        <v>21965.770767023547</v>
      </c>
      <c r="K27" s="342">
        <f t="shared" si="8"/>
        <v>21965.770767023547</v>
      </c>
      <c r="L27" s="342">
        <f t="shared" si="8"/>
        <v>21965.770767023547</v>
      </c>
      <c r="M27" s="342">
        <f t="shared" si="8"/>
        <v>21965.770767023547</v>
      </c>
      <c r="N27" s="342">
        <f t="shared" si="8"/>
        <v>21965.770767023547</v>
      </c>
      <c r="O27" s="342">
        <f t="shared" si="8"/>
        <v>21965.770767023547</v>
      </c>
      <c r="P27" s="342">
        <f t="shared" si="8"/>
        <v>21965.770767023547</v>
      </c>
      <c r="Q27" s="397"/>
      <c r="R27" s="420"/>
    </row>
    <row r="28" spans="3:18">
      <c r="C28" s="353"/>
      <c r="D28" s="354"/>
      <c r="E28" s="336" t="s">
        <v>206</v>
      </c>
      <c r="F28" s="28" t="str">
        <f>CONCATENATE("$/shown unit")</f>
        <v>$/shown unit</v>
      </c>
      <c r="G28" s="414"/>
      <c r="H28" s="414"/>
      <c r="I28" s="414"/>
      <c r="J28" s="414"/>
      <c r="K28" s="414"/>
      <c r="L28" s="414"/>
      <c r="M28" s="414"/>
      <c r="N28" s="414"/>
      <c r="O28" s="414"/>
      <c r="P28" s="414"/>
      <c r="Q28" s="397"/>
      <c r="R28" s="420"/>
    </row>
    <row r="29" spans="3:18">
      <c r="C29" s="355"/>
      <c r="D29" s="423"/>
      <c r="E29" s="379" t="s">
        <v>146</v>
      </c>
      <c r="F29" s="28" t="s">
        <v>207</v>
      </c>
      <c r="G29" s="424">
        <f t="shared" ref="G29:P29" si="9">G25*IF(G28="",G27,G28)</f>
        <v>378725.51360918151</v>
      </c>
      <c r="H29" s="424">
        <f t="shared" si="9"/>
        <v>0</v>
      </c>
      <c r="I29" s="424">
        <f t="shared" si="9"/>
        <v>0</v>
      </c>
      <c r="J29" s="424">
        <f t="shared" si="9"/>
        <v>0</v>
      </c>
      <c r="K29" s="424">
        <f t="shared" si="9"/>
        <v>0</v>
      </c>
      <c r="L29" s="424">
        <f t="shared" si="9"/>
        <v>0</v>
      </c>
      <c r="M29" s="424">
        <f t="shared" si="9"/>
        <v>0</v>
      </c>
      <c r="N29" s="424">
        <f t="shared" si="9"/>
        <v>0</v>
      </c>
      <c r="O29" s="424">
        <f t="shared" si="9"/>
        <v>0</v>
      </c>
      <c r="P29" s="424">
        <f t="shared" si="9"/>
        <v>0</v>
      </c>
      <c r="Q29" s="397"/>
      <c r="R29" s="420"/>
    </row>
    <row r="30" spans="3:18" ht="45">
      <c r="C30" s="421" t="s">
        <v>435</v>
      </c>
      <c r="D30" s="352"/>
      <c r="E30" s="335" t="s">
        <v>436</v>
      </c>
      <c r="F30" s="28" t="s">
        <v>123</v>
      </c>
      <c r="G30" s="412" t="s">
        <v>437</v>
      </c>
      <c r="H30" s="412" t="s">
        <v>437</v>
      </c>
      <c r="I30" s="412" t="s">
        <v>438</v>
      </c>
      <c r="J30" s="412" t="s">
        <v>439</v>
      </c>
      <c r="K30" s="412" t="s">
        <v>439</v>
      </c>
      <c r="L30" s="412" t="s">
        <v>439</v>
      </c>
      <c r="M30" s="412" t="s">
        <v>439</v>
      </c>
      <c r="N30" s="412" t="s">
        <v>439</v>
      </c>
      <c r="O30" s="412" t="s">
        <v>439</v>
      </c>
      <c r="P30" s="412" t="s">
        <v>439</v>
      </c>
      <c r="Q30" s="397"/>
      <c r="R30" s="420"/>
    </row>
    <row r="31" spans="3:18">
      <c r="C31" s="353"/>
      <c r="D31" s="354"/>
      <c r="E31" s="335" t="s">
        <v>440</v>
      </c>
      <c r="F31" s="28" t="s">
        <v>123</v>
      </c>
      <c r="G31" s="412" t="s">
        <v>441</v>
      </c>
      <c r="H31" s="412" t="s">
        <v>429</v>
      </c>
      <c r="I31" s="412" t="s">
        <v>430</v>
      </c>
      <c r="J31" s="412" t="s">
        <v>430</v>
      </c>
      <c r="K31" s="412" t="s">
        <v>430</v>
      </c>
      <c r="L31" s="412" t="s">
        <v>430</v>
      </c>
      <c r="M31" s="412" t="s">
        <v>430</v>
      </c>
      <c r="N31" s="412" t="s">
        <v>430</v>
      </c>
      <c r="O31" s="412" t="s">
        <v>430</v>
      </c>
      <c r="P31" s="412" t="s">
        <v>430</v>
      </c>
      <c r="Q31" s="397"/>
      <c r="R31" s="420"/>
    </row>
    <row r="32" spans="3:18">
      <c r="C32" s="353"/>
      <c r="D32" s="354"/>
      <c r="E32" s="335" t="s">
        <v>431</v>
      </c>
      <c r="F32" s="28" t="s">
        <v>123</v>
      </c>
      <c r="G32" s="412" t="s">
        <v>442</v>
      </c>
      <c r="H32" s="412" t="s">
        <v>442</v>
      </c>
      <c r="I32" s="412" t="s">
        <v>442</v>
      </c>
      <c r="J32" s="412" t="s">
        <v>214</v>
      </c>
      <c r="K32" s="412" t="s">
        <v>214</v>
      </c>
      <c r="L32" s="412" t="s">
        <v>214</v>
      </c>
      <c r="M32" s="412" t="s">
        <v>214</v>
      </c>
      <c r="N32" s="412" t="s">
        <v>214</v>
      </c>
      <c r="O32" s="412" t="s">
        <v>214</v>
      </c>
      <c r="P32" s="412" t="s">
        <v>214</v>
      </c>
      <c r="Q32" s="397"/>
      <c r="R32" s="420"/>
    </row>
    <row r="33" spans="3:18">
      <c r="C33" s="353"/>
      <c r="D33" s="354"/>
      <c r="E33" s="335" t="s">
        <v>443</v>
      </c>
      <c r="F33" s="28" t="s">
        <v>433</v>
      </c>
      <c r="G33" s="454"/>
      <c r="H33" s="454"/>
      <c r="I33" s="454"/>
      <c r="J33" s="454"/>
      <c r="K33" s="454"/>
      <c r="L33" s="454"/>
      <c r="M33" s="454"/>
      <c r="N33" s="454"/>
      <c r="O33" s="454"/>
      <c r="P33" s="454"/>
      <c r="Q33" s="397"/>
      <c r="R33" s="420"/>
    </row>
    <row r="34" spans="3:18">
      <c r="C34" s="353"/>
      <c r="D34" s="354"/>
      <c r="E34" s="335" t="s">
        <v>434</v>
      </c>
      <c r="F34" s="28" t="s">
        <v>353</v>
      </c>
      <c r="G34" s="422" t="str">
        <f t="shared" ref="G34:P34" si="10">IF(G32=Length,km,ha)</f>
        <v>km</v>
      </c>
      <c r="H34" s="422" t="str">
        <f t="shared" si="10"/>
        <v>km</v>
      </c>
      <c r="I34" s="422" t="str">
        <f t="shared" si="10"/>
        <v>km</v>
      </c>
      <c r="J34" s="422" t="str">
        <f t="shared" si="10"/>
        <v>ha</v>
      </c>
      <c r="K34" s="422" t="str">
        <f t="shared" si="10"/>
        <v>ha</v>
      </c>
      <c r="L34" s="422" t="str">
        <f t="shared" si="10"/>
        <v>ha</v>
      </c>
      <c r="M34" s="422" t="str">
        <f t="shared" si="10"/>
        <v>ha</v>
      </c>
      <c r="N34" s="422" t="str">
        <f t="shared" si="10"/>
        <v>ha</v>
      </c>
      <c r="O34" s="422" t="str">
        <f t="shared" si="10"/>
        <v>ha</v>
      </c>
      <c r="P34" s="422" t="str">
        <f t="shared" si="10"/>
        <v>ha</v>
      </c>
      <c r="Q34" s="397"/>
      <c r="R34" s="420"/>
    </row>
    <row r="35" spans="3:18">
      <c r="C35" s="353"/>
      <c r="D35" s="354"/>
      <c r="E35" s="346" t="s">
        <v>444</v>
      </c>
      <c r="F35" s="28" t="str">
        <f>CONCATENATE("$/shown unit")</f>
        <v>$/shown unit</v>
      </c>
      <c r="G35" s="342">
        <f t="shared" ref="G35:P35" si="11">IF(AND(G32=Length,G31=Pasture),_xlfn.XLOOKUP(G30,Track_length_pasture_names_CS,Track_length_pasture_rates_CS),IF(AND(G32=Length,G31=Native),_xlfn.XLOOKUP(G30,Track_length_native_names_CS,Track_length_native_rates_CS),IF(AND(G32=Length,G31=Arid),_xlfn.XLOOKUP(G30,Track_length_arid_names_CS,Track_length_arid_rates_CS),IF(AND(G32=Area,G31=Pasture),_xlfn.XLOOKUP(G30,Track_area_pasture_names_CS,Track_area_pasture_rates_CS),IF(AND(G32=Area,G31=Native),_xlfn.XLOOKUP(G30,Track_area_native_names_CS,Track_area_native_rates_CS),IF(AND(G32=Area,G31=Arid),_xlfn.XLOOKUP(G30,Track_area_arid_names_CS,Track_area_arid_rates_CS)))))))</f>
        <v>7597.6114252664784</v>
      </c>
      <c r="H35" s="342">
        <f t="shared" si="11"/>
        <v>10101.298625266478</v>
      </c>
      <c r="I35" s="342">
        <f t="shared" si="11"/>
        <v>3700.5079794020248</v>
      </c>
      <c r="J35" s="342">
        <f t="shared" si="11"/>
        <v>1805.4926835878575</v>
      </c>
      <c r="K35" s="342">
        <f t="shared" si="11"/>
        <v>1805.4926835878575</v>
      </c>
      <c r="L35" s="342">
        <f t="shared" si="11"/>
        <v>1805.4926835878575</v>
      </c>
      <c r="M35" s="342">
        <f t="shared" si="11"/>
        <v>1805.4926835878575</v>
      </c>
      <c r="N35" s="342">
        <f t="shared" si="11"/>
        <v>1805.4926835878575</v>
      </c>
      <c r="O35" s="342">
        <f t="shared" si="11"/>
        <v>1805.4926835878575</v>
      </c>
      <c r="P35" s="342">
        <f t="shared" si="11"/>
        <v>1805.4926835878575</v>
      </c>
      <c r="Q35" s="397"/>
      <c r="R35" s="420"/>
    </row>
    <row r="36" spans="3:18">
      <c r="C36" s="353"/>
      <c r="D36" s="354"/>
      <c r="E36" s="336" t="s">
        <v>445</v>
      </c>
      <c r="F36" s="28" t="str">
        <f>CONCATENATE("$/shown unit")</f>
        <v>$/shown unit</v>
      </c>
      <c r="G36" s="414"/>
      <c r="H36" s="414"/>
      <c r="I36" s="414"/>
      <c r="J36" s="414"/>
      <c r="K36" s="414"/>
      <c r="L36" s="414"/>
      <c r="M36" s="414"/>
      <c r="N36" s="414"/>
      <c r="O36" s="414"/>
      <c r="P36" s="414"/>
      <c r="Q36" s="397"/>
      <c r="R36" s="420"/>
    </row>
    <row r="37" spans="3:18">
      <c r="C37" s="355"/>
      <c r="D37" s="423"/>
      <c r="E37" s="379" t="s">
        <v>146</v>
      </c>
      <c r="F37" s="28" t="s">
        <v>207</v>
      </c>
      <c r="G37" s="424">
        <f t="shared" ref="G37:P37" si="12">G33*IF(G36="",G35,G36)</f>
        <v>0</v>
      </c>
      <c r="H37" s="424">
        <f t="shared" si="12"/>
        <v>0</v>
      </c>
      <c r="I37" s="424">
        <f t="shared" si="12"/>
        <v>0</v>
      </c>
      <c r="J37" s="424">
        <f t="shared" si="12"/>
        <v>0</v>
      </c>
      <c r="K37" s="424">
        <f t="shared" si="12"/>
        <v>0</v>
      </c>
      <c r="L37" s="424">
        <f t="shared" si="12"/>
        <v>0</v>
      </c>
      <c r="M37" s="424">
        <f t="shared" si="12"/>
        <v>0</v>
      </c>
      <c r="N37" s="424">
        <f t="shared" si="12"/>
        <v>0</v>
      </c>
      <c r="O37" s="424">
        <f t="shared" si="12"/>
        <v>0</v>
      </c>
      <c r="P37" s="424">
        <f t="shared" si="12"/>
        <v>0</v>
      </c>
      <c r="Q37" s="397"/>
      <c r="R37" s="420"/>
    </row>
    <row r="38" spans="3:18" ht="45">
      <c r="C38" s="421" t="s">
        <v>446</v>
      </c>
      <c r="D38" s="352"/>
      <c r="E38" s="335" t="s">
        <v>436</v>
      </c>
      <c r="F38" s="28" t="s">
        <v>123</v>
      </c>
      <c r="G38" s="412" t="s">
        <v>447</v>
      </c>
      <c r="H38" s="412" t="s">
        <v>447</v>
      </c>
      <c r="I38" s="412" t="s">
        <v>447</v>
      </c>
      <c r="J38" s="412" t="s">
        <v>448</v>
      </c>
      <c r="K38" s="412" t="s">
        <v>448</v>
      </c>
      <c r="L38" s="412" t="s">
        <v>448</v>
      </c>
      <c r="M38" s="412" t="s">
        <v>448</v>
      </c>
      <c r="N38" s="412" t="s">
        <v>448</v>
      </c>
      <c r="O38" s="412" t="s">
        <v>448</v>
      </c>
      <c r="P38" s="412" t="s">
        <v>448</v>
      </c>
      <c r="Q38" s="397"/>
      <c r="R38" s="420"/>
    </row>
    <row r="39" spans="3:18">
      <c r="C39" s="353"/>
      <c r="D39" s="354"/>
      <c r="E39" s="346" t="s">
        <v>214</v>
      </c>
      <c r="F39" s="28" t="s">
        <v>299</v>
      </c>
      <c r="G39" s="454">
        <v>6.4</v>
      </c>
      <c r="H39" s="454"/>
      <c r="I39" s="454"/>
      <c r="J39" s="454"/>
      <c r="K39" s="454"/>
      <c r="L39" s="454"/>
      <c r="M39" s="454"/>
      <c r="N39" s="454"/>
      <c r="O39" s="454"/>
      <c r="P39" s="454"/>
      <c r="Q39" s="397"/>
      <c r="R39" s="420"/>
    </row>
    <row r="40" spans="3:18">
      <c r="C40" s="353"/>
      <c r="D40" s="354"/>
      <c r="E40" s="336" t="s">
        <v>227</v>
      </c>
      <c r="F40" s="28" t="s">
        <v>329</v>
      </c>
      <c r="G40" s="342">
        <f t="shared" ref="G40:P40" si="13">_xlfn.XLOOKUP(G38,Laydown_names_CS,Laydown_rates_CS)</f>
        <v>18830.728098992935</v>
      </c>
      <c r="H40" s="342">
        <f t="shared" si="13"/>
        <v>18830.728098992935</v>
      </c>
      <c r="I40" s="342">
        <f t="shared" si="13"/>
        <v>18830.728098992935</v>
      </c>
      <c r="J40" s="342">
        <f t="shared" si="13"/>
        <v>1230.1933991600233</v>
      </c>
      <c r="K40" s="342">
        <f t="shared" si="13"/>
        <v>1230.1933991600233</v>
      </c>
      <c r="L40" s="342">
        <f t="shared" si="13"/>
        <v>1230.1933991600233</v>
      </c>
      <c r="M40" s="342">
        <f t="shared" si="13"/>
        <v>1230.1933991600233</v>
      </c>
      <c r="N40" s="342">
        <f t="shared" si="13"/>
        <v>1230.1933991600233</v>
      </c>
      <c r="O40" s="342">
        <f t="shared" si="13"/>
        <v>1230.1933991600233</v>
      </c>
      <c r="P40" s="342">
        <f t="shared" si="13"/>
        <v>1230.1933991600233</v>
      </c>
      <c r="Q40" s="397"/>
      <c r="R40" s="420"/>
    </row>
    <row r="41" spans="3:18">
      <c r="C41" s="353"/>
      <c r="D41" s="354"/>
      <c r="E41" s="336" t="s">
        <v>229</v>
      </c>
      <c r="F41" s="28" t="s">
        <v>329</v>
      </c>
      <c r="G41" s="414"/>
      <c r="H41" s="414"/>
      <c r="I41" s="414"/>
      <c r="J41" s="414"/>
      <c r="K41" s="414"/>
      <c r="L41" s="414"/>
      <c r="M41" s="414"/>
      <c r="N41" s="414"/>
      <c r="O41" s="414"/>
      <c r="P41" s="414"/>
      <c r="Q41" s="397"/>
      <c r="R41" s="420"/>
    </row>
    <row r="42" spans="3:18">
      <c r="C42" s="355"/>
      <c r="D42" s="423"/>
      <c r="E42" s="379" t="s">
        <v>146</v>
      </c>
      <c r="F42" s="28" t="s">
        <v>207</v>
      </c>
      <c r="G42" s="424">
        <f t="shared" ref="G42:P42" si="14">G39*IF(G41="",G40,G41)</f>
        <v>120516.65983355479</v>
      </c>
      <c r="H42" s="424">
        <f t="shared" si="14"/>
        <v>0</v>
      </c>
      <c r="I42" s="424">
        <f t="shared" si="14"/>
        <v>0</v>
      </c>
      <c r="J42" s="424">
        <f t="shared" si="14"/>
        <v>0</v>
      </c>
      <c r="K42" s="424">
        <f t="shared" si="14"/>
        <v>0</v>
      </c>
      <c r="L42" s="424">
        <f t="shared" si="14"/>
        <v>0</v>
      </c>
      <c r="M42" s="424">
        <f t="shared" si="14"/>
        <v>0</v>
      </c>
      <c r="N42" s="424">
        <f t="shared" si="14"/>
        <v>0</v>
      </c>
      <c r="O42" s="424">
        <f t="shared" si="14"/>
        <v>0</v>
      </c>
      <c r="P42" s="424">
        <f t="shared" si="14"/>
        <v>0</v>
      </c>
      <c r="Q42" s="397"/>
      <c r="R42" s="420"/>
    </row>
    <row r="43" spans="3:18" ht="22.5">
      <c r="C43" s="421" t="s">
        <v>449</v>
      </c>
      <c r="D43" s="352"/>
      <c r="E43" s="335" t="s">
        <v>436</v>
      </c>
      <c r="F43" s="28" t="s">
        <v>123</v>
      </c>
      <c r="G43" s="412" t="s">
        <v>450</v>
      </c>
      <c r="H43" s="412" t="s">
        <v>450</v>
      </c>
      <c r="I43" s="412" t="s">
        <v>450</v>
      </c>
      <c r="J43" s="412" t="s">
        <v>450</v>
      </c>
      <c r="K43" s="412" t="s">
        <v>450</v>
      </c>
      <c r="L43" s="412" t="s">
        <v>450</v>
      </c>
      <c r="M43" s="412" t="s">
        <v>450</v>
      </c>
      <c r="N43" s="412" t="s">
        <v>450</v>
      </c>
      <c r="O43" s="412" t="s">
        <v>450</v>
      </c>
      <c r="P43" s="412" t="s">
        <v>450</v>
      </c>
      <c r="Q43" s="397"/>
      <c r="R43" s="420"/>
    </row>
    <row r="44" spans="3:18">
      <c r="C44" s="353"/>
      <c r="D44" s="354"/>
      <c r="E44" s="346" t="s">
        <v>214</v>
      </c>
      <c r="F44" s="28" t="s">
        <v>299</v>
      </c>
      <c r="G44" s="454"/>
      <c r="H44" s="454"/>
      <c r="I44" s="454"/>
      <c r="J44" s="454"/>
      <c r="K44" s="454"/>
      <c r="L44" s="454"/>
      <c r="M44" s="454"/>
      <c r="N44" s="454"/>
      <c r="O44" s="454"/>
      <c r="P44" s="454"/>
      <c r="Q44" s="397"/>
      <c r="R44" s="420"/>
    </row>
    <row r="45" spans="3:18">
      <c r="C45" s="353"/>
      <c r="D45" s="354"/>
      <c r="E45" s="336" t="s">
        <v>227</v>
      </c>
      <c r="F45" s="28" t="s">
        <v>329</v>
      </c>
      <c r="G45" s="342">
        <f t="shared" ref="G45:P45" si="15">_xlfn.XLOOKUP(G43,Airstrip_names_CS,Airstrip_rates_CS)</f>
        <v>8371.1506650054671</v>
      </c>
      <c r="H45" s="342">
        <f t="shared" si="15"/>
        <v>8371.1506650054671</v>
      </c>
      <c r="I45" s="342">
        <f t="shared" si="15"/>
        <v>8371.1506650054671</v>
      </c>
      <c r="J45" s="342">
        <f t="shared" si="15"/>
        <v>8371.1506650054671</v>
      </c>
      <c r="K45" s="342">
        <f t="shared" si="15"/>
        <v>8371.1506650054671</v>
      </c>
      <c r="L45" s="342">
        <f t="shared" si="15"/>
        <v>8371.1506650054671</v>
      </c>
      <c r="M45" s="342">
        <f t="shared" si="15"/>
        <v>8371.1506650054671</v>
      </c>
      <c r="N45" s="342">
        <f t="shared" si="15"/>
        <v>8371.1506650054671</v>
      </c>
      <c r="O45" s="342">
        <f t="shared" si="15"/>
        <v>8371.1506650054671</v>
      </c>
      <c r="P45" s="342">
        <f t="shared" si="15"/>
        <v>8371.1506650054671</v>
      </c>
      <c r="Q45" s="397"/>
      <c r="R45" s="420"/>
    </row>
    <row r="46" spans="3:18">
      <c r="C46" s="353"/>
      <c r="D46" s="354"/>
      <c r="E46" s="336" t="s">
        <v>229</v>
      </c>
      <c r="F46" s="28" t="s">
        <v>329</v>
      </c>
      <c r="G46" s="414"/>
      <c r="H46" s="414"/>
      <c r="I46" s="414"/>
      <c r="J46" s="414"/>
      <c r="K46" s="414"/>
      <c r="L46" s="414"/>
      <c r="M46" s="414"/>
      <c r="N46" s="414"/>
      <c r="O46" s="414"/>
      <c r="P46" s="414"/>
      <c r="Q46" s="397"/>
      <c r="R46" s="420"/>
    </row>
    <row r="47" spans="3:18">
      <c r="C47" s="355"/>
      <c r="D47" s="423"/>
      <c r="E47" s="379" t="s">
        <v>146</v>
      </c>
      <c r="F47" s="28" t="s">
        <v>207</v>
      </c>
      <c r="G47" s="424">
        <f>G44*IF(G46="",G45,G46)</f>
        <v>0</v>
      </c>
      <c r="H47" s="424">
        <f>H44*IF(H46="",H45,H46)</f>
        <v>0</v>
      </c>
      <c r="I47" s="424">
        <f t="shared" ref="I47" si="16">I44*IF(I46="",I45,I46)</f>
        <v>0</v>
      </c>
      <c r="J47" s="424">
        <f t="shared" ref="J47" si="17">J44*IF(J46="",J45,J46)</f>
        <v>0</v>
      </c>
      <c r="K47" s="424">
        <f t="shared" ref="K47" si="18">K44*IF(K46="",K45,K46)</f>
        <v>0</v>
      </c>
      <c r="L47" s="424">
        <f t="shared" ref="L47" si="19">L44*IF(L46="",L45,L46)</f>
        <v>0</v>
      </c>
      <c r="M47" s="424">
        <f t="shared" ref="M47" si="20">M44*IF(M46="",M45,M46)</f>
        <v>0</v>
      </c>
      <c r="N47" s="424">
        <f t="shared" ref="N47" si="21">N44*IF(N46="",N45,N46)</f>
        <v>0</v>
      </c>
      <c r="O47" s="424">
        <f t="shared" ref="O47" si="22">O44*IF(O46="",O45,O46)</f>
        <v>0</v>
      </c>
      <c r="P47" s="424">
        <f t="shared" ref="P47" si="23">P44*IF(P46="",P45,P46)</f>
        <v>0</v>
      </c>
      <c r="Q47" s="397"/>
      <c r="R47" s="420"/>
    </row>
    <row r="48" spans="3:18" ht="33.75">
      <c r="C48" s="421" t="s">
        <v>451</v>
      </c>
      <c r="D48" s="425"/>
      <c r="E48" s="379" t="s">
        <v>452</v>
      </c>
      <c r="F48" s="28" t="s">
        <v>123</v>
      </c>
      <c r="G48" s="412" t="s">
        <v>453</v>
      </c>
      <c r="H48" s="412" t="s">
        <v>454</v>
      </c>
      <c r="I48" s="412" t="s">
        <v>453</v>
      </c>
      <c r="J48" s="412" t="s">
        <v>453</v>
      </c>
      <c r="K48" s="412" t="s">
        <v>453</v>
      </c>
      <c r="L48" s="412" t="s">
        <v>453</v>
      </c>
      <c r="M48" s="412" t="s">
        <v>453</v>
      </c>
      <c r="N48" s="412" t="s">
        <v>453</v>
      </c>
      <c r="O48" s="412" t="s">
        <v>453</v>
      </c>
      <c r="P48" s="412" t="s">
        <v>453</v>
      </c>
      <c r="Q48" s="397"/>
      <c r="R48" s="420"/>
    </row>
    <row r="49" spans="3:18">
      <c r="C49" s="353"/>
      <c r="D49" s="354"/>
      <c r="E49" s="346" t="s">
        <v>214</v>
      </c>
      <c r="F49" s="28" t="s">
        <v>215</v>
      </c>
      <c r="G49" s="454">
        <f>37000-H49</f>
        <v>22500</v>
      </c>
      <c r="H49" s="454">
        <v>14500</v>
      </c>
      <c r="I49" s="454"/>
      <c r="J49" s="454"/>
      <c r="K49" s="454"/>
      <c r="L49" s="454"/>
      <c r="M49" s="454"/>
      <c r="N49" s="454"/>
      <c r="O49" s="454"/>
      <c r="P49" s="454"/>
      <c r="Q49" s="397"/>
      <c r="R49" s="420"/>
    </row>
    <row r="50" spans="3:18">
      <c r="C50" s="353"/>
      <c r="D50" s="354"/>
      <c r="E50" s="336" t="s">
        <v>227</v>
      </c>
      <c r="F50" s="28" t="s">
        <v>455</v>
      </c>
      <c r="G50" s="342">
        <f>_xlfn.XLOOKUP(G48,'Cost Schedule'!$C$1102:$C$1103,'Cost Schedule'!$D$1102:$D$1103)</f>
        <v>30.641988454717175</v>
      </c>
      <c r="H50" s="342">
        <f>_xlfn.XLOOKUP(H48,'Cost Schedule'!$C$1102:$C$1103,'Cost Schedule'!$D$1102:$D$1103)</f>
        <v>61.283976909434351</v>
      </c>
      <c r="I50" s="342">
        <f>_xlfn.XLOOKUP(I48,'Cost Schedule'!$C$1102:$C$1103,'Cost Schedule'!$D$1102:$D$1103)</f>
        <v>30.641988454717175</v>
      </c>
      <c r="J50" s="342">
        <f>_xlfn.XLOOKUP(J48,'Cost Schedule'!$C$1102:$C$1103,'Cost Schedule'!$D$1102:$D$1103)</f>
        <v>30.641988454717175</v>
      </c>
      <c r="K50" s="342">
        <f>_xlfn.XLOOKUP(K48,'Cost Schedule'!$C$1102:$C$1103,'Cost Schedule'!$D$1102:$D$1103)</f>
        <v>30.641988454717175</v>
      </c>
      <c r="L50" s="342">
        <f>_xlfn.XLOOKUP(L48,'Cost Schedule'!$C$1102:$C$1103,'Cost Schedule'!$D$1102:$D$1103)</f>
        <v>30.641988454717175</v>
      </c>
      <c r="M50" s="342">
        <f>_xlfn.XLOOKUP(M48,'Cost Schedule'!$C$1102:$C$1103,'Cost Schedule'!$D$1102:$D$1103)</f>
        <v>30.641988454717175</v>
      </c>
      <c r="N50" s="342">
        <f>_xlfn.XLOOKUP(N48,'Cost Schedule'!$C$1102:$C$1103,'Cost Schedule'!$D$1102:$D$1103)</f>
        <v>30.641988454717175</v>
      </c>
      <c r="O50" s="342">
        <f>_xlfn.XLOOKUP(O48,'Cost Schedule'!$C$1102:$C$1103,'Cost Schedule'!$D$1102:$D$1103)</f>
        <v>30.641988454717175</v>
      </c>
      <c r="P50" s="342">
        <f>_xlfn.XLOOKUP(P48,'Cost Schedule'!$C$1102:$C$1103,'Cost Schedule'!$D$1102:$D$1103)</f>
        <v>30.641988454717175</v>
      </c>
      <c r="Q50" s="397"/>
      <c r="R50" s="420"/>
    </row>
    <row r="51" spans="3:18">
      <c r="C51" s="353"/>
      <c r="D51" s="354"/>
      <c r="E51" s="336" t="s">
        <v>229</v>
      </c>
      <c r="F51" s="28" t="s">
        <v>455</v>
      </c>
      <c r="G51" s="414"/>
      <c r="H51" s="414"/>
      <c r="I51" s="414"/>
      <c r="J51" s="414"/>
      <c r="K51" s="414"/>
      <c r="L51" s="414"/>
      <c r="M51" s="414"/>
      <c r="N51" s="414"/>
      <c r="O51" s="414"/>
      <c r="P51" s="414"/>
      <c r="Q51" s="397"/>
      <c r="R51" s="420"/>
    </row>
    <row r="52" spans="3:18">
      <c r="C52" s="355"/>
      <c r="D52" s="423"/>
      <c r="E52" s="379" t="s">
        <v>146</v>
      </c>
      <c r="F52" s="28" t="s">
        <v>207</v>
      </c>
      <c r="G52" s="424">
        <f t="shared" ref="G52:P52" si="24">G49*IF(G51="",G50,G51)</f>
        <v>689444.74023113644</v>
      </c>
      <c r="H52" s="424">
        <f t="shared" si="24"/>
        <v>888617.66518679808</v>
      </c>
      <c r="I52" s="424">
        <f t="shared" si="24"/>
        <v>0</v>
      </c>
      <c r="J52" s="424">
        <f t="shared" si="24"/>
        <v>0</v>
      </c>
      <c r="K52" s="424">
        <f t="shared" si="24"/>
        <v>0</v>
      </c>
      <c r="L52" s="424">
        <f t="shared" si="24"/>
        <v>0</v>
      </c>
      <c r="M52" s="424">
        <f t="shared" si="24"/>
        <v>0</v>
      </c>
      <c r="N52" s="424">
        <f t="shared" si="24"/>
        <v>0</v>
      </c>
      <c r="O52" s="424">
        <f t="shared" si="24"/>
        <v>0</v>
      </c>
      <c r="P52" s="424">
        <f t="shared" si="24"/>
        <v>0</v>
      </c>
      <c r="Q52" s="397"/>
      <c r="R52" s="420"/>
    </row>
    <row r="53" spans="3:18">
      <c r="C53" s="391"/>
      <c r="D53" s="373"/>
      <c r="E53" s="374" t="s">
        <v>456</v>
      </c>
      <c r="F53" s="62" t="s">
        <v>413</v>
      </c>
      <c r="G53" s="392">
        <f t="shared" ref="G53:P53" si="25">G29+G37+G42+G47+G52</f>
        <v>1188686.9136738726</v>
      </c>
      <c r="H53" s="392">
        <f t="shared" si="25"/>
        <v>888617.66518679808</v>
      </c>
      <c r="I53" s="392">
        <f t="shared" si="25"/>
        <v>0</v>
      </c>
      <c r="J53" s="392">
        <f t="shared" si="25"/>
        <v>0</v>
      </c>
      <c r="K53" s="392">
        <f t="shared" si="25"/>
        <v>0</v>
      </c>
      <c r="L53" s="392">
        <f t="shared" si="25"/>
        <v>0</v>
      </c>
      <c r="M53" s="392">
        <f t="shared" si="25"/>
        <v>0</v>
      </c>
      <c r="N53" s="392">
        <f t="shared" si="25"/>
        <v>0</v>
      </c>
      <c r="O53" s="392">
        <f t="shared" si="25"/>
        <v>0</v>
      </c>
      <c r="P53" s="392">
        <f t="shared" si="25"/>
        <v>0</v>
      </c>
      <c r="Q53" s="397"/>
      <c r="R53" s="420"/>
    </row>
    <row r="54" spans="3:18" ht="56.25">
      <c r="C54" s="421" t="s">
        <v>457</v>
      </c>
      <c r="D54" s="425"/>
      <c r="E54" s="335" t="s">
        <v>436</v>
      </c>
      <c r="F54" s="28" t="s">
        <v>123</v>
      </c>
      <c r="G54" s="412" t="s">
        <v>458</v>
      </c>
      <c r="H54" s="412" t="s">
        <v>459</v>
      </c>
      <c r="I54" s="412" t="s">
        <v>460</v>
      </c>
      <c r="J54" s="412" t="s">
        <v>461</v>
      </c>
      <c r="K54" s="412" t="s">
        <v>462</v>
      </c>
      <c r="L54" s="412" t="s">
        <v>463</v>
      </c>
      <c r="M54" s="412" t="s">
        <v>464</v>
      </c>
      <c r="N54" s="412" t="s">
        <v>461</v>
      </c>
      <c r="O54" s="412" t="s">
        <v>459</v>
      </c>
      <c r="P54" s="412" t="s">
        <v>459</v>
      </c>
      <c r="Q54" s="397"/>
      <c r="R54" s="420"/>
    </row>
    <row r="55" spans="3:18">
      <c r="C55" s="353"/>
      <c r="D55" s="426"/>
      <c r="E55" s="346" t="s">
        <v>465</v>
      </c>
      <c r="F55" s="28" t="s">
        <v>433</v>
      </c>
      <c r="G55" s="454">
        <f>287.28+17.013+85.036+386.498+316.646+287.288</f>
        <v>1379.761</v>
      </c>
      <c r="H55" s="454"/>
      <c r="I55" s="454"/>
      <c r="J55" s="454"/>
      <c r="K55" s="454"/>
      <c r="L55" s="454"/>
      <c r="M55" s="454"/>
      <c r="N55" s="454"/>
      <c r="O55" s="454"/>
      <c r="P55" s="454"/>
      <c r="Q55" s="397"/>
      <c r="R55" s="420"/>
    </row>
    <row r="56" spans="3:18">
      <c r="C56" s="353"/>
      <c r="D56" s="426"/>
      <c r="E56" s="335" t="s">
        <v>434</v>
      </c>
      <c r="F56" s="28" t="s">
        <v>353</v>
      </c>
      <c r="G56" s="422" t="str">
        <f t="shared" ref="G56:P56" si="26">_xlfn.XLOOKUP(G54,Buildings_names_CS,Buildings_units_CS)</f>
        <v>m2</v>
      </c>
      <c r="H56" s="422" t="str">
        <f t="shared" si="26"/>
        <v>m2</v>
      </c>
      <c r="I56" s="422" t="str">
        <f t="shared" si="26"/>
        <v>m2</v>
      </c>
      <c r="J56" s="422" t="str">
        <f t="shared" si="26"/>
        <v>building</v>
      </c>
      <c r="K56" s="422" t="str">
        <f t="shared" si="26"/>
        <v>building</v>
      </c>
      <c r="L56" s="422" t="str">
        <f t="shared" si="26"/>
        <v>building</v>
      </c>
      <c r="M56" s="422" t="str">
        <f t="shared" si="26"/>
        <v>building</v>
      </c>
      <c r="N56" s="422" t="str">
        <f t="shared" si="26"/>
        <v>building</v>
      </c>
      <c r="O56" s="422" t="str">
        <f t="shared" si="26"/>
        <v>m2</v>
      </c>
      <c r="P56" s="422" t="str">
        <f t="shared" si="26"/>
        <v>m2</v>
      </c>
      <c r="Q56" s="397"/>
      <c r="R56" s="420"/>
    </row>
    <row r="57" spans="3:18">
      <c r="C57" s="353"/>
      <c r="D57" s="426"/>
      <c r="E57" s="336" t="s">
        <v>227</v>
      </c>
      <c r="F57" s="28" t="s">
        <v>466</v>
      </c>
      <c r="G57" s="342">
        <f t="shared" ref="G57:P57" si="27">_xlfn.XLOOKUP(G54,Buildings_names_CS,Buildings_rates_CS)</f>
        <v>118.416618727074</v>
      </c>
      <c r="H57" s="342">
        <f t="shared" si="27"/>
        <v>57.633500017526131</v>
      </c>
      <c r="I57" s="342">
        <f t="shared" si="27"/>
        <v>60.989623744056871</v>
      </c>
      <c r="J57" s="342">
        <f t="shared" si="27"/>
        <v>3074.4182818382092</v>
      </c>
      <c r="K57" s="342">
        <f t="shared" si="27"/>
        <v>1532.5653410452928</v>
      </c>
      <c r="L57" s="342">
        <f t="shared" si="27"/>
        <v>829.92240025237618</v>
      </c>
      <c r="M57" s="342">
        <f t="shared" si="27"/>
        <v>6156.3970671370253</v>
      </c>
      <c r="N57" s="342">
        <f t="shared" si="27"/>
        <v>3074.4182818382092</v>
      </c>
      <c r="O57" s="342">
        <f t="shared" si="27"/>
        <v>57.633500017526131</v>
      </c>
      <c r="P57" s="342">
        <f t="shared" si="27"/>
        <v>57.633500017526131</v>
      </c>
      <c r="Q57" s="397"/>
      <c r="R57" s="427"/>
    </row>
    <row r="58" spans="3:18">
      <c r="C58" s="353"/>
      <c r="D58" s="426"/>
      <c r="E58" s="336" t="s">
        <v>229</v>
      </c>
      <c r="F58" s="28" t="s">
        <v>466</v>
      </c>
      <c r="G58" s="414"/>
      <c r="H58" s="414"/>
      <c r="I58" s="414"/>
      <c r="J58" s="414"/>
      <c r="K58" s="414"/>
      <c r="L58" s="414"/>
      <c r="M58" s="414"/>
      <c r="N58" s="414"/>
      <c r="O58" s="414"/>
      <c r="P58" s="414"/>
      <c r="Q58" s="397"/>
      <c r="R58" s="420"/>
    </row>
    <row r="59" spans="3:18">
      <c r="C59" s="355"/>
      <c r="D59" s="423"/>
      <c r="E59" s="379" t="s">
        <v>146</v>
      </c>
      <c r="F59" s="28" t="s">
        <v>207</v>
      </c>
      <c r="G59" s="424">
        <f t="shared" ref="G59:P59" si="28">G55*IF(G58="",G57,G58)</f>
        <v>163386.63227148633</v>
      </c>
      <c r="H59" s="424">
        <f t="shared" si="28"/>
        <v>0</v>
      </c>
      <c r="I59" s="424">
        <f t="shared" si="28"/>
        <v>0</v>
      </c>
      <c r="J59" s="424">
        <f t="shared" si="28"/>
        <v>0</v>
      </c>
      <c r="K59" s="424">
        <f t="shared" si="28"/>
        <v>0</v>
      </c>
      <c r="L59" s="424">
        <f t="shared" si="28"/>
        <v>0</v>
      </c>
      <c r="M59" s="424">
        <f t="shared" si="28"/>
        <v>0</v>
      </c>
      <c r="N59" s="424">
        <f t="shared" si="28"/>
        <v>0</v>
      </c>
      <c r="O59" s="424">
        <f t="shared" si="28"/>
        <v>0</v>
      </c>
      <c r="P59" s="424">
        <f t="shared" si="28"/>
        <v>0</v>
      </c>
      <c r="Q59" s="397"/>
      <c r="R59" s="420"/>
    </row>
    <row r="60" spans="3:18" ht="56.25">
      <c r="C60" s="421" t="s">
        <v>467</v>
      </c>
      <c r="D60" s="425"/>
      <c r="E60" s="335" t="s">
        <v>436</v>
      </c>
      <c r="F60" s="28" t="s">
        <v>123</v>
      </c>
      <c r="G60" s="412" t="s">
        <v>463</v>
      </c>
      <c r="H60" s="412" t="s">
        <v>468</v>
      </c>
      <c r="I60" s="412" t="s">
        <v>458</v>
      </c>
      <c r="J60" s="412" t="s">
        <v>461</v>
      </c>
      <c r="K60" s="412" t="s">
        <v>462</v>
      </c>
      <c r="L60" s="412" t="s">
        <v>463</v>
      </c>
      <c r="M60" s="412" t="s">
        <v>464</v>
      </c>
      <c r="N60" s="412" t="s">
        <v>461</v>
      </c>
      <c r="O60" s="412" t="s">
        <v>459</v>
      </c>
      <c r="P60" s="412" t="s">
        <v>459</v>
      </c>
      <c r="Q60" s="397"/>
      <c r="R60" s="420"/>
    </row>
    <row r="61" spans="3:18">
      <c r="C61" s="353"/>
      <c r="D61" s="426"/>
      <c r="E61" s="346" t="s">
        <v>465</v>
      </c>
      <c r="F61" s="28" t="s">
        <v>433</v>
      </c>
      <c r="G61" s="454">
        <v>743</v>
      </c>
      <c r="H61" s="454"/>
      <c r="I61" s="454"/>
      <c r="J61" s="454"/>
      <c r="K61" s="454"/>
      <c r="L61" s="454"/>
      <c r="M61" s="454"/>
      <c r="N61" s="454"/>
      <c r="O61" s="454"/>
      <c r="P61" s="454"/>
      <c r="Q61" s="397"/>
      <c r="R61" s="420"/>
    </row>
    <row r="62" spans="3:18">
      <c r="C62" s="353"/>
      <c r="D62" s="426"/>
      <c r="E62" s="335" t="s">
        <v>434</v>
      </c>
      <c r="F62" s="28" t="s">
        <v>353</v>
      </c>
      <c r="G62" s="422" t="str">
        <f t="shared" ref="G62:P62" si="29">_xlfn.XLOOKUP(G60,Buildings_names_CS,Buildings_units_CS)</f>
        <v>building</v>
      </c>
      <c r="H62" s="422" t="str">
        <f t="shared" si="29"/>
        <v>m2</v>
      </c>
      <c r="I62" s="422" t="str">
        <f t="shared" si="29"/>
        <v>m2</v>
      </c>
      <c r="J62" s="422" t="str">
        <f t="shared" si="29"/>
        <v>building</v>
      </c>
      <c r="K62" s="422" t="str">
        <f t="shared" si="29"/>
        <v>building</v>
      </c>
      <c r="L62" s="422" t="str">
        <f t="shared" si="29"/>
        <v>building</v>
      </c>
      <c r="M62" s="422" t="str">
        <f t="shared" si="29"/>
        <v>building</v>
      </c>
      <c r="N62" s="422" t="str">
        <f t="shared" si="29"/>
        <v>building</v>
      </c>
      <c r="O62" s="422" t="str">
        <f t="shared" si="29"/>
        <v>m2</v>
      </c>
      <c r="P62" s="422" t="str">
        <f t="shared" si="29"/>
        <v>m2</v>
      </c>
      <c r="Q62" s="397"/>
      <c r="R62" s="420"/>
    </row>
    <row r="63" spans="3:18">
      <c r="C63" s="353"/>
      <c r="D63" s="426"/>
      <c r="E63" s="336" t="s">
        <v>227</v>
      </c>
      <c r="F63" s="28" t="s">
        <v>466</v>
      </c>
      <c r="G63" s="342">
        <f t="shared" ref="G63:P63" si="30">_xlfn.XLOOKUP(G60,Buildings_names_CS,Buildings_rates_CS)</f>
        <v>829.92240025237618</v>
      </c>
      <c r="H63" s="342">
        <f t="shared" si="30"/>
        <v>59.264328063962871</v>
      </c>
      <c r="I63" s="342">
        <f t="shared" si="30"/>
        <v>118.416618727074</v>
      </c>
      <c r="J63" s="342">
        <f t="shared" si="30"/>
        <v>3074.4182818382092</v>
      </c>
      <c r="K63" s="342">
        <f t="shared" si="30"/>
        <v>1532.5653410452928</v>
      </c>
      <c r="L63" s="342">
        <f t="shared" si="30"/>
        <v>829.92240025237618</v>
      </c>
      <c r="M63" s="342">
        <f t="shared" si="30"/>
        <v>6156.3970671370253</v>
      </c>
      <c r="N63" s="342">
        <f t="shared" si="30"/>
        <v>3074.4182818382092</v>
      </c>
      <c r="O63" s="342">
        <f t="shared" si="30"/>
        <v>57.633500017526131</v>
      </c>
      <c r="P63" s="342">
        <f t="shared" si="30"/>
        <v>57.633500017526131</v>
      </c>
      <c r="Q63" s="397"/>
      <c r="R63" s="427"/>
    </row>
    <row r="64" spans="3:18">
      <c r="C64" s="353"/>
      <c r="D64" s="426"/>
      <c r="E64" s="336" t="s">
        <v>229</v>
      </c>
      <c r="F64" s="28" t="s">
        <v>466</v>
      </c>
      <c r="G64" s="414"/>
      <c r="H64" s="414"/>
      <c r="I64" s="414"/>
      <c r="J64" s="414"/>
      <c r="K64" s="414"/>
      <c r="L64" s="414"/>
      <c r="M64" s="414"/>
      <c r="N64" s="414"/>
      <c r="O64" s="414"/>
      <c r="P64" s="414"/>
      <c r="Q64" s="397"/>
      <c r="R64" s="420"/>
    </row>
    <row r="65" spans="3:18">
      <c r="C65" s="355"/>
      <c r="D65" s="423"/>
      <c r="E65" s="379" t="s">
        <v>146</v>
      </c>
      <c r="F65" s="28" t="s">
        <v>207</v>
      </c>
      <c r="G65" s="424">
        <f t="shared" ref="G65:P65" si="31">G61*IF(G64="",G63,G64)</f>
        <v>616632.34338751552</v>
      </c>
      <c r="H65" s="424">
        <f t="shared" si="31"/>
        <v>0</v>
      </c>
      <c r="I65" s="424">
        <f t="shared" si="31"/>
        <v>0</v>
      </c>
      <c r="J65" s="424">
        <f t="shared" si="31"/>
        <v>0</v>
      </c>
      <c r="K65" s="424">
        <f t="shared" si="31"/>
        <v>0</v>
      </c>
      <c r="L65" s="424">
        <f t="shared" si="31"/>
        <v>0</v>
      </c>
      <c r="M65" s="424">
        <f t="shared" si="31"/>
        <v>0</v>
      </c>
      <c r="N65" s="424">
        <f t="shared" si="31"/>
        <v>0</v>
      </c>
      <c r="O65" s="424">
        <f t="shared" si="31"/>
        <v>0</v>
      </c>
      <c r="P65" s="424">
        <f t="shared" si="31"/>
        <v>0</v>
      </c>
      <c r="Q65" s="397"/>
      <c r="R65" s="420"/>
    </row>
    <row r="66" spans="3:18" ht="56.25">
      <c r="C66" s="421" t="s">
        <v>467</v>
      </c>
      <c r="D66" s="425"/>
      <c r="E66" s="335" t="s">
        <v>436</v>
      </c>
      <c r="F66" s="28" t="s">
        <v>123</v>
      </c>
      <c r="G66" s="412" t="s">
        <v>460</v>
      </c>
      <c r="H66" s="412" t="s">
        <v>468</v>
      </c>
      <c r="I66" s="412" t="s">
        <v>458</v>
      </c>
      <c r="J66" s="412" t="s">
        <v>461</v>
      </c>
      <c r="K66" s="412" t="s">
        <v>462</v>
      </c>
      <c r="L66" s="412" t="s">
        <v>463</v>
      </c>
      <c r="M66" s="412" t="s">
        <v>464</v>
      </c>
      <c r="N66" s="412" t="s">
        <v>461</v>
      </c>
      <c r="O66" s="412" t="s">
        <v>459</v>
      </c>
      <c r="P66" s="412" t="s">
        <v>459</v>
      </c>
      <c r="Q66" s="397"/>
      <c r="R66" s="420"/>
    </row>
    <row r="67" spans="3:18">
      <c r="C67" s="353"/>
      <c r="D67" s="426"/>
      <c r="E67" s="346" t="s">
        <v>465</v>
      </c>
      <c r="F67" s="28" t="s">
        <v>433</v>
      </c>
      <c r="G67" s="454">
        <v>6150</v>
      </c>
      <c r="H67" s="454"/>
      <c r="I67" s="454"/>
      <c r="J67" s="454"/>
      <c r="K67" s="454"/>
      <c r="L67" s="454"/>
      <c r="M67" s="454"/>
      <c r="N67" s="454"/>
      <c r="O67" s="454"/>
      <c r="P67" s="454"/>
      <c r="Q67" s="397"/>
      <c r="R67" s="420"/>
    </row>
    <row r="68" spans="3:18">
      <c r="C68" s="353"/>
      <c r="D68" s="426"/>
      <c r="E68" s="335" t="s">
        <v>434</v>
      </c>
      <c r="F68" s="28" t="s">
        <v>353</v>
      </c>
      <c r="G68" s="422" t="str">
        <f t="shared" ref="G68:P68" si="32">_xlfn.XLOOKUP(G66,Buildings_names_CS,Buildings_units_CS)</f>
        <v>m2</v>
      </c>
      <c r="H68" s="422" t="str">
        <f t="shared" si="32"/>
        <v>m2</v>
      </c>
      <c r="I68" s="422" t="str">
        <f t="shared" si="32"/>
        <v>m2</v>
      </c>
      <c r="J68" s="422" t="str">
        <f t="shared" si="32"/>
        <v>building</v>
      </c>
      <c r="K68" s="422" t="str">
        <f t="shared" si="32"/>
        <v>building</v>
      </c>
      <c r="L68" s="422" t="str">
        <f t="shared" si="32"/>
        <v>building</v>
      </c>
      <c r="M68" s="422" t="str">
        <f t="shared" si="32"/>
        <v>building</v>
      </c>
      <c r="N68" s="422" t="str">
        <f t="shared" si="32"/>
        <v>building</v>
      </c>
      <c r="O68" s="422" t="str">
        <f t="shared" si="32"/>
        <v>m2</v>
      </c>
      <c r="P68" s="422" t="str">
        <f t="shared" si="32"/>
        <v>m2</v>
      </c>
      <c r="Q68" s="397"/>
      <c r="R68" s="420"/>
    </row>
    <row r="69" spans="3:18">
      <c r="C69" s="353"/>
      <c r="D69" s="426"/>
      <c r="E69" s="336" t="s">
        <v>227</v>
      </c>
      <c r="F69" s="28" t="s">
        <v>466</v>
      </c>
      <c r="G69" s="342">
        <f t="shared" ref="G69:P69" si="33">_xlfn.XLOOKUP(G66,Buildings_names_CS,Buildings_rates_CS)</f>
        <v>60.989623744056871</v>
      </c>
      <c r="H69" s="342">
        <f t="shared" si="33"/>
        <v>59.264328063962871</v>
      </c>
      <c r="I69" s="342">
        <f t="shared" si="33"/>
        <v>118.416618727074</v>
      </c>
      <c r="J69" s="342">
        <f t="shared" si="33"/>
        <v>3074.4182818382092</v>
      </c>
      <c r="K69" s="342">
        <f t="shared" si="33"/>
        <v>1532.5653410452928</v>
      </c>
      <c r="L69" s="342">
        <f t="shared" si="33"/>
        <v>829.92240025237618</v>
      </c>
      <c r="M69" s="342">
        <f t="shared" si="33"/>
        <v>6156.3970671370253</v>
      </c>
      <c r="N69" s="342">
        <f t="shared" si="33"/>
        <v>3074.4182818382092</v>
      </c>
      <c r="O69" s="342">
        <f t="shared" si="33"/>
        <v>57.633500017526131</v>
      </c>
      <c r="P69" s="342">
        <f t="shared" si="33"/>
        <v>57.633500017526131</v>
      </c>
      <c r="Q69" s="397"/>
      <c r="R69" s="427"/>
    </row>
    <row r="70" spans="3:18">
      <c r="C70" s="353"/>
      <c r="D70" s="426"/>
      <c r="E70" s="336" t="s">
        <v>229</v>
      </c>
      <c r="F70" s="28" t="s">
        <v>466</v>
      </c>
      <c r="G70" s="414"/>
      <c r="H70" s="414"/>
      <c r="I70" s="414"/>
      <c r="J70" s="414"/>
      <c r="K70" s="414"/>
      <c r="L70" s="414"/>
      <c r="M70" s="414"/>
      <c r="N70" s="414"/>
      <c r="O70" s="414"/>
      <c r="P70" s="414"/>
      <c r="Q70" s="397"/>
      <c r="R70" s="420"/>
    </row>
    <row r="71" spans="3:18">
      <c r="C71" s="355"/>
      <c r="D71" s="423"/>
      <c r="E71" s="379" t="s">
        <v>146</v>
      </c>
      <c r="F71" s="28" t="s">
        <v>207</v>
      </c>
      <c r="G71" s="424">
        <f t="shared" ref="G71:P71" si="34">G67*IF(G70="",G69,G70)</f>
        <v>375086.18602594978</v>
      </c>
      <c r="H71" s="424">
        <f t="shared" si="34"/>
        <v>0</v>
      </c>
      <c r="I71" s="424">
        <f t="shared" si="34"/>
        <v>0</v>
      </c>
      <c r="J71" s="424">
        <f t="shared" si="34"/>
        <v>0</v>
      </c>
      <c r="K71" s="424">
        <f t="shared" si="34"/>
        <v>0</v>
      </c>
      <c r="L71" s="424">
        <f t="shared" si="34"/>
        <v>0</v>
      </c>
      <c r="M71" s="424">
        <f t="shared" si="34"/>
        <v>0</v>
      </c>
      <c r="N71" s="424">
        <f t="shared" si="34"/>
        <v>0</v>
      </c>
      <c r="O71" s="424">
        <f t="shared" si="34"/>
        <v>0</v>
      </c>
      <c r="P71" s="424">
        <f t="shared" si="34"/>
        <v>0</v>
      </c>
      <c r="Q71" s="397"/>
      <c r="R71" s="420"/>
    </row>
    <row r="72" spans="3:18">
      <c r="C72" s="391"/>
      <c r="D72" s="373"/>
      <c r="E72" s="374" t="str">
        <f>C54</f>
        <v xml:space="preserve">Demolish and remove buildings </v>
      </c>
      <c r="F72" s="62" t="s">
        <v>413</v>
      </c>
      <c r="G72" s="392">
        <f>G59+G65+G71</f>
        <v>1155105.1616849517</v>
      </c>
      <c r="H72" s="392">
        <f t="shared" ref="H72:P72" si="35">H59+H65+H71</f>
        <v>0</v>
      </c>
      <c r="I72" s="392">
        <f t="shared" si="35"/>
        <v>0</v>
      </c>
      <c r="J72" s="392">
        <f t="shared" si="35"/>
        <v>0</v>
      </c>
      <c r="K72" s="392">
        <f t="shared" si="35"/>
        <v>0</v>
      </c>
      <c r="L72" s="392">
        <f t="shared" si="35"/>
        <v>0</v>
      </c>
      <c r="M72" s="392">
        <f t="shared" si="35"/>
        <v>0</v>
      </c>
      <c r="N72" s="392">
        <f t="shared" si="35"/>
        <v>0</v>
      </c>
      <c r="O72" s="392">
        <f t="shared" si="35"/>
        <v>0</v>
      </c>
      <c r="P72" s="392">
        <f t="shared" si="35"/>
        <v>0</v>
      </c>
      <c r="Q72" s="397"/>
      <c r="R72" s="420"/>
    </row>
    <row r="73" spans="3:18" ht="56.25">
      <c r="C73" s="428" t="s">
        <v>469</v>
      </c>
      <c r="D73" s="429"/>
      <c r="E73" s="346" t="s">
        <v>470</v>
      </c>
      <c r="F73" s="28" t="s">
        <v>123</v>
      </c>
      <c r="G73" s="412" t="s">
        <v>471</v>
      </c>
      <c r="H73" s="412" t="s">
        <v>472</v>
      </c>
      <c r="I73" s="412" t="s">
        <v>472</v>
      </c>
      <c r="J73" s="412" t="s">
        <v>473</v>
      </c>
      <c r="K73" s="412" t="s">
        <v>473</v>
      </c>
      <c r="L73" s="412" t="s">
        <v>473</v>
      </c>
      <c r="M73" s="412" t="s">
        <v>473</v>
      </c>
      <c r="N73" s="412" t="s">
        <v>473</v>
      </c>
      <c r="O73" s="412" t="s">
        <v>473</v>
      </c>
      <c r="P73" s="412" t="s">
        <v>471</v>
      </c>
      <c r="Q73" s="397"/>
      <c r="R73" s="420"/>
    </row>
    <row r="74" spans="3:18">
      <c r="C74" s="430"/>
      <c r="D74" s="431"/>
      <c r="E74" s="346" t="s">
        <v>355</v>
      </c>
      <c r="F74" s="28" t="s">
        <v>474</v>
      </c>
      <c r="G74" s="455">
        <v>14</v>
      </c>
      <c r="H74" s="455"/>
      <c r="I74" s="455"/>
      <c r="J74" s="455"/>
      <c r="K74" s="455"/>
      <c r="L74" s="455"/>
      <c r="M74" s="455"/>
      <c r="N74" s="455"/>
      <c r="O74" s="455"/>
      <c r="P74" s="455"/>
      <c r="Q74" s="397"/>
      <c r="R74" s="420"/>
    </row>
    <row r="75" spans="3:18">
      <c r="C75" s="430"/>
      <c r="D75" s="431"/>
      <c r="E75" s="346" t="s">
        <v>227</v>
      </c>
      <c r="F75" s="28" t="s">
        <v>475</v>
      </c>
      <c r="G75" s="342">
        <f t="shared" ref="G75:P75" si="36">_xlfn.XLOOKUP(G73,Tanks_infra_names_CS,Tanks_infra_rates_CS)</f>
        <v>1513.18</v>
      </c>
      <c r="H75" s="342">
        <f t="shared" si="36"/>
        <v>26442.16735550671</v>
      </c>
      <c r="I75" s="342">
        <f t="shared" si="36"/>
        <v>26442.16735550671</v>
      </c>
      <c r="J75" s="342">
        <f t="shared" si="36"/>
        <v>665.01397986071765</v>
      </c>
      <c r="K75" s="342">
        <f t="shared" si="36"/>
        <v>665.01397986071765</v>
      </c>
      <c r="L75" s="342">
        <f t="shared" si="36"/>
        <v>665.01397986071765</v>
      </c>
      <c r="M75" s="342">
        <f t="shared" si="36"/>
        <v>665.01397986071765</v>
      </c>
      <c r="N75" s="342">
        <f t="shared" si="36"/>
        <v>665.01397986071765</v>
      </c>
      <c r="O75" s="342">
        <f t="shared" si="36"/>
        <v>665.01397986071765</v>
      </c>
      <c r="P75" s="342">
        <f t="shared" si="36"/>
        <v>1513.18</v>
      </c>
      <c r="Q75" s="397"/>
      <c r="R75" s="420"/>
    </row>
    <row r="76" spans="3:18">
      <c r="C76" s="430"/>
      <c r="D76" s="431"/>
      <c r="E76" s="346" t="s">
        <v>229</v>
      </c>
      <c r="F76" s="28" t="s">
        <v>475</v>
      </c>
      <c r="G76" s="414"/>
      <c r="H76" s="414"/>
      <c r="I76" s="414"/>
      <c r="J76" s="414"/>
      <c r="K76" s="414"/>
      <c r="L76" s="414"/>
      <c r="M76" s="414"/>
      <c r="N76" s="414"/>
      <c r="O76" s="414"/>
      <c r="P76" s="414"/>
      <c r="Q76" s="397"/>
      <c r="R76" s="420"/>
    </row>
    <row r="77" spans="3:18">
      <c r="C77" s="432"/>
      <c r="D77" s="433"/>
      <c r="E77" s="346" t="s">
        <v>146</v>
      </c>
      <c r="F77" s="28" t="s">
        <v>207</v>
      </c>
      <c r="G77" s="424">
        <f t="shared" ref="G77" si="37">IF(G76="",G75,G76)*G74</f>
        <v>21184.52</v>
      </c>
      <c r="H77" s="424">
        <f t="shared" ref="H77:P77" si="38">IF(H76="",H75,H76)*H74</f>
        <v>0</v>
      </c>
      <c r="I77" s="424">
        <f t="shared" si="38"/>
        <v>0</v>
      </c>
      <c r="J77" s="424">
        <f t="shared" si="38"/>
        <v>0</v>
      </c>
      <c r="K77" s="424">
        <f t="shared" si="38"/>
        <v>0</v>
      </c>
      <c r="L77" s="424">
        <f t="shared" si="38"/>
        <v>0</v>
      </c>
      <c r="M77" s="424">
        <f t="shared" si="38"/>
        <v>0</v>
      </c>
      <c r="N77" s="424">
        <f t="shared" si="38"/>
        <v>0</v>
      </c>
      <c r="O77" s="424">
        <f t="shared" si="38"/>
        <v>0</v>
      </c>
      <c r="P77" s="424">
        <f t="shared" si="38"/>
        <v>0</v>
      </c>
      <c r="Q77" s="397"/>
      <c r="R77" s="420"/>
    </row>
    <row r="78" spans="3:18" ht="12" thickBot="1">
      <c r="C78" s="391"/>
      <c r="D78" s="373"/>
      <c r="E78" s="374" t="str">
        <f>C73</f>
        <v>Decommission, demolish, remove tanks and vessels</v>
      </c>
      <c r="F78" s="72"/>
      <c r="G78" s="365">
        <f>G77</f>
        <v>21184.52</v>
      </c>
      <c r="H78" s="365">
        <f t="shared" ref="H78:P78" si="39">H77</f>
        <v>0</v>
      </c>
      <c r="I78" s="365">
        <f t="shared" si="39"/>
        <v>0</v>
      </c>
      <c r="J78" s="365">
        <f t="shared" si="39"/>
        <v>0</v>
      </c>
      <c r="K78" s="365">
        <f t="shared" si="39"/>
        <v>0</v>
      </c>
      <c r="L78" s="365">
        <f t="shared" si="39"/>
        <v>0</v>
      </c>
      <c r="M78" s="365">
        <f t="shared" si="39"/>
        <v>0</v>
      </c>
      <c r="N78" s="365">
        <f t="shared" si="39"/>
        <v>0</v>
      </c>
      <c r="O78" s="365">
        <f t="shared" si="39"/>
        <v>0</v>
      </c>
      <c r="P78" s="365">
        <f t="shared" si="39"/>
        <v>0</v>
      </c>
      <c r="Q78" s="397"/>
      <c r="R78" s="420"/>
    </row>
    <row r="79" spans="3:18" ht="57" thickTop="1">
      <c r="C79" s="421" t="s">
        <v>476</v>
      </c>
      <c r="D79" s="352"/>
      <c r="E79" s="335" t="s">
        <v>477</v>
      </c>
      <c r="F79" s="28" t="s">
        <v>123</v>
      </c>
      <c r="G79" s="412" t="s">
        <v>478</v>
      </c>
      <c r="H79" s="412" t="s">
        <v>479</v>
      </c>
      <c r="I79" s="412" t="s">
        <v>479</v>
      </c>
      <c r="J79" s="412" t="s">
        <v>480</v>
      </c>
      <c r="K79" s="412" t="s">
        <v>481</v>
      </c>
      <c r="L79" s="412" t="s">
        <v>482</v>
      </c>
      <c r="M79" s="412" t="s">
        <v>483</v>
      </c>
      <c r="N79" s="412" t="s">
        <v>484</v>
      </c>
      <c r="O79" s="412" t="s">
        <v>479</v>
      </c>
      <c r="P79" s="412" t="s">
        <v>478</v>
      </c>
      <c r="Q79" s="397"/>
      <c r="R79" s="420"/>
    </row>
    <row r="80" spans="3:18">
      <c r="C80" s="353"/>
      <c r="D80" s="354"/>
      <c r="E80" s="335" t="s">
        <v>485</v>
      </c>
      <c r="F80" s="28" t="s">
        <v>211</v>
      </c>
      <c r="G80" s="456"/>
      <c r="H80" s="456"/>
      <c r="I80" s="456"/>
      <c r="J80" s="456"/>
      <c r="K80" s="456"/>
      <c r="L80" s="456"/>
      <c r="M80" s="456"/>
      <c r="N80" s="456"/>
      <c r="O80" s="456"/>
      <c r="P80" s="456"/>
      <c r="Q80" s="397"/>
      <c r="R80" s="420"/>
    </row>
    <row r="81" spans="3:18">
      <c r="C81" s="353"/>
      <c r="D81" s="354"/>
      <c r="E81" s="335" t="s">
        <v>204</v>
      </c>
      <c r="F81" s="28" t="s">
        <v>293</v>
      </c>
      <c r="G81" s="342">
        <f t="shared" ref="G81:P81" si="40">_xlfn.XLOOKUP(G79,Pipelines_names_CS,Pipelines_rates_CS)</f>
        <v>11.26163640766136</v>
      </c>
      <c r="H81" s="342">
        <f t="shared" si="40"/>
        <v>6.3216364076613614</v>
      </c>
      <c r="I81" s="342">
        <f t="shared" si="40"/>
        <v>6.3216364076613614</v>
      </c>
      <c r="J81" s="342">
        <f t="shared" si="40"/>
        <v>2.2499697409946946</v>
      </c>
      <c r="K81" s="342">
        <f t="shared" si="40"/>
        <v>6.079122866407066</v>
      </c>
      <c r="L81" s="342">
        <f t="shared" si="40"/>
        <v>31.26266410003997</v>
      </c>
      <c r="M81" s="342">
        <f t="shared" si="40"/>
        <v>33.891578025824423</v>
      </c>
      <c r="N81" s="342">
        <f t="shared" si="40"/>
        <v>37.747606151236781</v>
      </c>
      <c r="O81" s="342">
        <f t="shared" si="40"/>
        <v>6.3216364076613614</v>
      </c>
      <c r="P81" s="342">
        <f t="shared" si="40"/>
        <v>11.26163640766136</v>
      </c>
      <c r="Q81" s="397"/>
      <c r="R81" s="427"/>
    </row>
    <row r="82" spans="3:18">
      <c r="C82" s="353"/>
      <c r="D82" s="354"/>
      <c r="E82" s="335" t="s">
        <v>206</v>
      </c>
      <c r="F82" s="28" t="s">
        <v>293</v>
      </c>
      <c r="G82" s="414"/>
      <c r="H82" s="414"/>
      <c r="I82" s="414"/>
      <c r="J82" s="414"/>
      <c r="K82" s="414"/>
      <c r="L82" s="414"/>
      <c r="M82" s="414"/>
      <c r="N82" s="414"/>
      <c r="O82" s="414"/>
      <c r="P82" s="414"/>
      <c r="Q82" s="397"/>
      <c r="R82" s="420"/>
    </row>
    <row r="83" spans="3:18">
      <c r="C83" s="355"/>
      <c r="D83" s="356"/>
      <c r="E83" s="335" t="s">
        <v>146</v>
      </c>
      <c r="F83" s="28" t="s">
        <v>207</v>
      </c>
      <c r="G83" s="424">
        <f t="shared" ref="G83:P83" si="41">G80*IF(G82="",G81,G82)</f>
        <v>0</v>
      </c>
      <c r="H83" s="424">
        <f t="shared" si="41"/>
        <v>0</v>
      </c>
      <c r="I83" s="424">
        <f t="shared" si="41"/>
        <v>0</v>
      </c>
      <c r="J83" s="424">
        <f t="shared" si="41"/>
        <v>0</v>
      </c>
      <c r="K83" s="424">
        <f t="shared" si="41"/>
        <v>0</v>
      </c>
      <c r="L83" s="424">
        <f t="shared" si="41"/>
        <v>0</v>
      </c>
      <c r="M83" s="424">
        <f t="shared" si="41"/>
        <v>0</v>
      </c>
      <c r="N83" s="424">
        <f t="shared" si="41"/>
        <v>0</v>
      </c>
      <c r="O83" s="424">
        <f t="shared" si="41"/>
        <v>0</v>
      </c>
      <c r="P83" s="424">
        <f t="shared" si="41"/>
        <v>0</v>
      </c>
      <c r="Q83" s="397"/>
      <c r="R83" s="420"/>
    </row>
    <row r="84" spans="3:18">
      <c r="C84" s="434" t="s">
        <v>486</v>
      </c>
      <c r="D84" s="354"/>
      <c r="E84" s="335" t="s">
        <v>485</v>
      </c>
      <c r="F84" s="28" t="s">
        <v>211</v>
      </c>
      <c r="G84" s="456"/>
      <c r="H84" s="456"/>
      <c r="I84" s="456"/>
      <c r="J84" s="456"/>
      <c r="K84" s="456"/>
      <c r="L84" s="456"/>
      <c r="M84" s="456"/>
      <c r="N84" s="456"/>
      <c r="O84" s="456"/>
      <c r="P84" s="456"/>
      <c r="Q84" s="397"/>
      <c r="R84" s="420"/>
    </row>
    <row r="85" spans="3:18">
      <c r="C85" s="353" t="s">
        <v>487</v>
      </c>
      <c r="D85" s="354"/>
      <c r="E85" s="335" t="s">
        <v>204</v>
      </c>
      <c r="F85" s="28" t="s">
        <v>293</v>
      </c>
      <c r="G85" s="342">
        <f>'Cost Schedule'!$D$44</f>
        <v>11.545720840784314</v>
      </c>
      <c r="H85" s="342">
        <f>'Cost Schedule'!$D$44</f>
        <v>11.545720840784314</v>
      </c>
      <c r="I85" s="342">
        <f>'Cost Schedule'!$D$44</f>
        <v>11.545720840784314</v>
      </c>
      <c r="J85" s="342">
        <f>'Cost Schedule'!$D$44</f>
        <v>11.545720840784314</v>
      </c>
      <c r="K85" s="342">
        <f>'Cost Schedule'!$D$44</f>
        <v>11.545720840784314</v>
      </c>
      <c r="L85" s="342">
        <f>'Cost Schedule'!$D$44</f>
        <v>11.545720840784314</v>
      </c>
      <c r="M85" s="342">
        <f>'Cost Schedule'!$D$44</f>
        <v>11.545720840784314</v>
      </c>
      <c r="N85" s="342">
        <f>'Cost Schedule'!$D$44</f>
        <v>11.545720840784314</v>
      </c>
      <c r="O85" s="342">
        <f>'Cost Schedule'!$D$44</f>
        <v>11.545720840784314</v>
      </c>
      <c r="P85" s="342">
        <f>'Cost Schedule'!$D$44</f>
        <v>11.545720840784314</v>
      </c>
      <c r="Q85" s="397"/>
      <c r="R85" s="427"/>
    </row>
    <row r="86" spans="3:18">
      <c r="C86" s="353"/>
      <c r="D86" s="354"/>
      <c r="E86" s="335" t="s">
        <v>206</v>
      </c>
      <c r="F86" s="28" t="s">
        <v>293</v>
      </c>
      <c r="G86" s="414"/>
      <c r="H86" s="414"/>
      <c r="I86" s="414"/>
      <c r="J86" s="414"/>
      <c r="K86" s="414"/>
      <c r="L86" s="414"/>
      <c r="M86" s="414"/>
      <c r="N86" s="414"/>
      <c r="O86" s="414"/>
      <c r="P86" s="414"/>
      <c r="Q86" s="397"/>
      <c r="R86" s="420"/>
    </row>
    <row r="87" spans="3:18">
      <c r="C87" s="355"/>
      <c r="D87" s="356"/>
      <c r="E87" s="335" t="s">
        <v>146</v>
      </c>
      <c r="F87" s="28" t="s">
        <v>207</v>
      </c>
      <c r="G87" s="424">
        <f t="shared" ref="G87" si="42">G84*IF(G86="",G85,G86)</f>
        <v>0</v>
      </c>
      <c r="H87" s="424">
        <f t="shared" ref="H87:P87" si="43">H84*IF(H86="",H85,H86)</f>
        <v>0</v>
      </c>
      <c r="I87" s="424">
        <f t="shared" si="43"/>
        <v>0</v>
      </c>
      <c r="J87" s="424">
        <f t="shared" si="43"/>
        <v>0</v>
      </c>
      <c r="K87" s="424">
        <f t="shared" si="43"/>
        <v>0</v>
      </c>
      <c r="L87" s="424">
        <f t="shared" si="43"/>
        <v>0</v>
      </c>
      <c r="M87" s="424">
        <f t="shared" si="43"/>
        <v>0</v>
      </c>
      <c r="N87" s="424">
        <f t="shared" si="43"/>
        <v>0</v>
      </c>
      <c r="O87" s="424">
        <f t="shared" si="43"/>
        <v>0</v>
      </c>
      <c r="P87" s="424">
        <f t="shared" si="43"/>
        <v>0</v>
      </c>
      <c r="Q87" s="397"/>
      <c r="R87" s="420"/>
    </row>
    <row r="88" spans="3:18">
      <c r="C88" s="391"/>
      <c r="D88" s="435"/>
      <c r="E88" s="374" t="s">
        <v>488</v>
      </c>
      <c r="F88" s="62" t="s">
        <v>413</v>
      </c>
      <c r="G88" s="392">
        <f>G83+G87</f>
        <v>0</v>
      </c>
      <c r="H88" s="392">
        <f t="shared" ref="H88:P88" si="44">H83+H87</f>
        <v>0</v>
      </c>
      <c r="I88" s="392">
        <f t="shared" si="44"/>
        <v>0</v>
      </c>
      <c r="J88" s="392">
        <f t="shared" si="44"/>
        <v>0</v>
      </c>
      <c r="K88" s="392">
        <f t="shared" si="44"/>
        <v>0</v>
      </c>
      <c r="L88" s="392">
        <f t="shared" si="44"/>
        <v>0</v>
      </c>
      <c r="M88" s="392">
        <f t="shared" si="44"/>
        <v>0</v>
      </c>
      <c r="N88" s="392">
        <f t="shared" si="44"/>
        <v>0</v>
      </c>
      <c r="O88" s="392">
        <f t="shared" si="44"/>
        <v>0</v>
      </c>
      <c r="P88" s="392">
        <f t="shared" si="44"/>
        <v>0</v>
      </c>
      <c r="Q88" s="397"/>
      <c r="R88" s="420"/>
    </row>
    <row r="89" spans="3:18" ht="33.75">
      <c r="C89" s="421" t="s">
        <v>489</v>
      </c>
      <c r="D89" s="425"/>
      <c r="E89" s="335" t="s">
        <v>436</v>
      </c>
      <c r="F89" s="28" t="s">
        <v>123</v>
      </c>
      <c r="G89" s="412" t="s">
        <v>490</v>
      </c>
      <c r="H89" s="412" t="s">
        <v>491</v>
      </c>
      <c r="I89" s="412" t="s">
        <v>491</v>
      </c>
      <c r="J89" s="412" t="s">
        <v>491</v>
      </c>
      <c r="K89" s="412" t="s">
        <v>491</v>
      </c>
      <c r="L89" s="412" t="s">
        <v>491</v>
      </c>
      <c r="M89" s="412" t="s">
        <v>491</v>
      </c>
      <c r="N89" s="412" t="s">
        <v>491</v>
      </c>
      <c r="O89" s="412" t="s">
        <v>491</v>
      </c>
      <c r="P89" s="412" t="s">
        <v>491</v>
      </c>
      <c r="Q89" s="397"/>
      <c r="R89" s="420"/>
    </row>
    <row r="90" spans="3:18">
      <c r="C90" s="436"/>
      <c r="D90" s="426"/>
      <c r="E90" s="346" t="s">
        <v>442</v>
      </c>
      <c r="F90" s="28" t="s">
        <v>411</v>
      </c>
      <c r="G90" s="457">
        <v>2.4</v>
      </c>
      <c r="H90" s="457"/>
      <c r="I90" s="457"/>
      <c r="J90" s="457"/>
      <c r="K90" s="457"/>
      <c r="L90" s="457"/>
      <c r="M90" s="457"/>
      <c r="N90" s="457"/>
      <c r="O90" s="457"/>
      <c r="P90" s="457"/>
      <c r="Q90" s="397"/>
      <c r="R90" s="420"/>
    </row>
    <row r="91" spans="3:18">
      <c r="C91" s="436"/>
      <c r="D91" s="426"/>
      <c r="E91" s="336" t="s">
        <v>227</v>
      </c>
      <c r="F91" s="28" t="s">
        <v>412</v>
      </c>
      <c r="G91" s="342">
        <f t="shared" ref="G91:P91" si="45">_xlfn.XLOOKUP(G89,Power_poles_names_CS,Power_poles_rates_CS)</f>
        <v>26870.828591179059</v>
      </c>
      <c r="H91" s="342">
        <f t="shared" si="45"/>
        <v>68936.593670802467</v>
      </c>
      <c r="I91" s="342">
        <f t="shared" si="45"/>
        <v>68936.593670802467</v>
      </c>
      <c r="J91" s="342">
        <f t="shared" si="45"/>
        <v>68936.593670802467</v>
      </c>
      <c r="K91" s="342">
        <f t="shared" si="45"/>
        <v>68936.593670802467</v>
      </c>
      <c r="L91" s="342">
        <f t="shared" si="45"/>
        <v>68936.593670802467</v>
      </c>
      <c r="M91" s="342">
        <f t="shared" si="45"/>
        <v>68936.593670802467</v>
      </c>
      <c r="N91" s="342">
        <f t="shared" si="45"/>
        <v>68936.593670802467</v>
      </c>
      <c r="O91" s="342">
        <f t="shared" si="45"/>
        <v>68936.593670802467</v>
      </c>
      <c r="P91" s="342">
        <f t="shared" si="45"/>
        <v>68936.593670802467</v>
      </c>
      <c r="Q91" s="397"/>
      <c r="R91" s="427"/>
    </row>
    <row r="92" spans="3:18">
      <c r="C92" s="436"/>
      <c r="D92" s="426"/>
      <c r="E92" s="336" t="s">
        <v>229</v>
      </c>
      <c r="F92" s="28" t="s">
        <v>207</v>
      </c>
      <c r="G92" s="414"/>
      <c r="H92" s="414"/>
      <c r="I92" s="414"/>
      <c r="J92" s="414"/>
      <c r="K92" s="414"/>
      <c r="L92" s="414"/>
      <c r="M92" s="414"/>
      <c r="N92" s="414"/>
      <c r="O92" s="414"/>
      <c r="P92" s="414"/>
      <c r="Q92" s="397"/>
      <c r="R92" s="420"/>
    </row>
    <row r="93" spans="3:18">
      <c r="C93" s="437"/>
      <c r="D93" s="423"/>
      <c r="E93" s="379" t="s">
        <v>146</v>
      </c>
      <c r="F93" s="28" t="s">
        <v>207</v>
      </c>
      <c r="G93" s="424">
        <f t="shared" ref="G93:P93" si="46">G90*IF(G92="",G91,G92)</f>
        <v>64489.988618829739</v>
      </c>
      <c r="H93" s="424">
        <f t="shared" si="46"/>
        <v>0</v>
      </c>
      <c r="I93" s="424">
        <f t="shared" si="46"/>
        <v>0</v>
      </c>
      <c r="J93" s="424">
        <f t="shared" si="46"/>
        <v>0</v>
      </c>
      <c r="K93" s="424">
        <f t="shared" si="46"/>
        <v>0</v>
      </c>
      <c r="L93" s="424">
        <f t="shared" si="46"/>
        <v>0</v>
      </c>
      <c r="M93" s="424">
        <f t="shared" si="46"/>
        <v>0</v>
      </c>
      <c r="N93" s="424">
        <f t="shared" si="46"/>
        <v>0</v>
      </c>
      <c r="O93" s="424">
        <f t="shared" si="46"/>
        <v>0</v>
      </c>
      <c r="P93" s="424">
        <f t="shared" si="46"/>
        <v>0</v>
      </c>
      <c r="Q93" s="397"/>
      <c r="R93" s="420"/>
    </row>
    <row r="94" spans="3:18" ht="36" customHeight="1">
      <c r="C94" s="421" t="s">
        <v>492</v>
      </c>
      <c r="D94" s="425"/>
      <c r="E94" s="335" t="s">
        <v>436</v>
      </c>
      <c r="F94" s="28" t="s">
        <v>123</v>
      </c>
      <c r="G94" s="412" t="s">
        <v>493</v>
      </c>
      <c r="H94" s="412" t="s">
        <v>494</v>
      </c>
      <c r="I94" s="412" t="s">
        <v>494</v>
      </c>
      <c r="J94" s="412" t="s">
        <v>493</v>
      </c>
      <c r="K94" s="412" t="s">
        <v>493</v>
      </c>
      <c r="L94" s="412" t="s">
        <v>493</v>
      </c>
      <c r="M94" s="412" t="s">
        <v>493</v>
      </c>
      <c r="N94" s="412" t="s">
        <v>493</v>
      </c>
      <c r="O94" s="412" t="s">
        <v>493</v>
      </c>
      <c r="P94" s="412" t="s">
        <v>493</v>
      </c>
      <c r="Q94" s="397"/>
      <c r="R94" s="420"/>
    </row>
    <row r="95" spans="3:18">
      <c r="C95" s="436"/>
      <c r="D95" s="426"/>
      <c r="E95" s="346" t="s">
        <v>214</v>
      </c>
      <c r="F95" s="28" t="s">
        <v>215</v>
      </c>
      <c r="G95" s="458">
        <v>673.55</v>
      </c>
      <c r="H95" s="458"/>
      <c r="I95" s="454"/>
      <c r="J95" s="454"/>
      <c r="K95" s="454"/>
      <c r="L95" s="454"/>
      <c r="M95" s="454"/>
      <c r="N95" s="454"/>
      <c r="O95" s="454"/>
      <c r="P95" s="454"/>
      <c r="Q95" s="397"/>
      <c r="R95" s="420"/>
    </row>
    <row r="96" spans="3:18">
      <c r="C96" s="436"/>
      <c r="D96" s="426"/>
      <c r="E96" s="336" t="s">
        <v>227</v>
      </c>
      <c r="F96" s="28" t="s">
        <v>455</v>
      </c>
      <c r="G96" s="342">
        <f t="shared" ref="G96:P96" si="47">_xlfn.XLOOKUP(G94,Substation_names_CS,Substations_rates_CS)</f>
        <v>133.73552126184188</v>
      </c>
      <c r="H96" s="342">
        <f t="shared" si="47"/>
        <v>111.47309170967149</v>
      </c>
      <c r="I96" s="342">
        <f t="shared" si="47"/>
        <v>111.47309170967149</v>
      </c>
      <c r="J96" s="342">
        <f t="shared" si="47"/>
        <v>133.73552126184188</v>
      </c>
      <c r="K96" s="342">
        <f t="shared" si="47"/>
        <v>133.73552126184188</v>
      </c>
      <c r="L96" s="342">
        <f t="shared" si="47"/>
        <v>133.73552126184188</v>
      </c>
      <c r="M96" s="342">
        <f t="shared" si="47"/>
        <v>133.73552126184188</v>
      </c>
      <c r="N96" s="342">
        <f t="shared" si="47"/>
        <v>133.73552126184188</v>
      </c>
      <c r="O96" s="342">
        <f t="shared" si="47"/>
        <v>133.73552126184188</v>
      </c>
      <c r="P96" s="342">
        <f t="shared" si="47"/>
        <v>133.73552126184188</v>
      </c>
      <c r="Q96" s="397"/>
      <c r="R96" s="427"/>
    </row>
    <row r="97" spans="3:18">
      <c r="C97" s="436"/>
      <c r="D97" s="426"/>
      <c r="E97" s="336" t="s">
        <v>229</v>
      </c>
      <c r="F97" s="28" t="s">
        <v>207</v>
      </c>
      <c r="G97" s="414"/>
      <c r="H97" s="414"/>
      <c r="I97" s="414"/>
      <c r="J97" s="414"/>
      <c r="K97" s="414"/>
      <c r="L97" s="414"/>
      <c r="M97" s="414"/>
      <c r="N97" s="414"/>
      <c r="O97" s="414"/>
      <c r="P97" s="414"/>
      <c r="Q97" s="397"/>
      <c r="R97" s="420"/>
    </row>
    <row r="98" spans="3:18">
      <c r="C98" s="437"/>
      <c r="D98" s="423"/>
      <c r="E98" s="379" t="s">
        <v>146</v>
      </c>
      <c r="F98" s="28" t="s">
        <v>207</v>
      </c>
      <c r="G98" s="424">
        <f>G95*IF(G97="",G96,G97)</f>
        <v>90077.560345913589</v>
      </c>
      <c r="H98" s="424">
        <f>H95*IF(H97="",H96,H97)</f>
        <v>0</v>
      </c>
      <c r="I98" s="424">
        <f t="shared" ref="I98" si="48">I95*IF(I97="",I96,I97)</f>
        <v>0</v>
      </c>
      <c r="J98" s="424">
        <f t="shared" ref="J98" si="49">J95*IF(J97="",J96,J97)</f>
        <v>0</v>
      </c>
      <c r="K98" s="424">
        <f t="shared" ref="K98" si="50">K95*IF(K97="",K96,K97)</f>
        <v>0</v>
      </c>
      <c r="L98" s="424">
        <f t="shared" ref="L98" si="51">L95*IF(L97="",L96,L97)</f>
        <v>0</v>
      </c>
      <c r="M98" s="424">
        <f t="shared" ref="M98" si="52">M95*IF(M97="",M96,M97)</f>
        <v>0</v>
      </c>
      <c r="N98" s="424">
        <f t="shared" ref="N98" si="53">N95*IF(N97="",N96,N97)</f>
        <v>0</v>
      </c>
      <c r="O98" s="424">
        <f t="shared" ref="O98" si="54">O95*IF(O97="",O96,O97)</f>
        <v>0</v>
      </c>
      <c r="P98" s="424">
        <f t="shared" ref="P98" si="55">P95*IF(P97="",P96,P97)</f>
        <v>0</v>
      </c>
      <c r="Q98" s="397"/>
      <c r="R98" s="420"/>
    </row>
    <row r="99" spans="3:18">
      <c r="C99" s="421" t="s">
        <v>495</v>
      </c>
      <c r="D99" s="425"/>
      <c r="E99" s="346" t="s">
        <v>355</v>
      </c>
      <c r="F99" s="28" t="s">
        <v>496</v>
      </c>
      <c r="G99" s="454"/>
      <c r="H99" s="454"/>
      <c r="I99" s="454"/>
      <c r="J99" s="454"/>
      <c r="K99" s="454"/>
      <c r="L99" s="454"/>
      <c r="M99" s="454"/>
      <c r="N99" s="454"/>
      <c r="O99" s="454"/>
      <c r="P99" s="454"/>
      <c r="Q99" s="397"/>
      <c r="R99" s="420"/>
    </row>
    <row r="100" spans="3:18">
      <c r="C100" s="436"/>
      <c r="D100" s="426"/>
      <c r="E100" s="336" t="s">
        <v>227</v>
      </c>
      <c r="F100" s="28" t="s">
        <v>497</v>
      </c>
      <c r="G100" s="342">
        <f>'Cost Schedule'!$D$80</f>
        <v>17818.916688475747</v>
      </c>
      <c r="H100" s="342">
        <f>'Cost Schedule'!$D$80</f>
        <v>17818.916688475747</v>
      </c>
      <c r="I100" s="342">
        <f>'Cost Schedule'!$D$80</f>
        <v>17818.916688475747</v>
      </c>
      <c r="J100" s="342">
        <f>'Cost Schedule'!$D$80</f>
        <v>17818.916688475747</v>
      </c>
      <c r="K100" s="342">
        <f>'Cost Schedule'!$D$80</f>
        <v>17818.916688475747</v>
      </c>
      <c r="L100" s="342">
        <f>'Cost Schedule'!$D$80</f>
        <v>17818.916688475747</v>
      </c>
      <c r="M100" s="342">
        <f>'Cost Schedule'!$D$80</f>
        <v>17818.916688475747</v>
      </c>
      <c r="N100" s="342">
        <f>'Cost Schedule'!$D$80</f>
        <v>17818.916688475747</v>
      </c>
      <c r="O100" s="342">
        <f>'Cost Schedule'!$D$80</f>
        <v>17818.916688475747</v>
      </c>
      <c r="P100" s="342">
        <f>'Cost Schedule'!$D$80</f>
        <v>17818.916688475747</v>
      </c>
      <c r="Q100" s="397"/>
      <c r="R100" s="427"/>
    </row>
    <row r="101" spans="3:18">
      <c r="C101" s="353"/>
      <c r="D101" s="426"/>
      <c r="E101" s="336" t="s">
        <v>229</v>
      </c>
      <c r="F101" s="28" t="s">
        <v>497</v>
      </c>
      <c r="G101" s="414"/>
      <c r="H101" s="414"/>
      <c r="I101" s="414"/>
      <c r="J101" s="414"/>
      <c r="K101" s="414"/>
      <c r="L101" s="414"/>
      <c r="M101" s="414"/>
      <c r="N101" s="414"/>
      <c r="O101" s="414"/>
      <c r="P101" s="414"/>
      <c r="Q101" s="397"/>
      <c r="R101" s="420"/>
    </row>
    <row r="102" spans="3:18">
      <c r="C102" s="355"/>
      <c r="D102" s="423"/>
      <c r="E102" s="379" t="s">
        <v>146</v>
      </c>
      <c r="F102" s="28" t="s">
        <v>207</v>
      </c>
      <c r="G102" s="424">
        <f>G99*IF(G101="",G100,G101)</f>
        <v>0</v>
      </c>
      <c r="H102" s="424">
        <f t="shared" ref="H102:P102" si="56">H99*IF(H101="",H100,H101)</f>
        <v>0</v>
      </c>
      <c r="I102" s="424">
        <f t="shared" si="56"/>
        <v>0</v>
      </c>
      <c r="J102" s="424">
        <f t="shared" si="56"/>
        <v>0</v>
      </c>
      <c r="K102" s="424">
        <f t="shared" si="56"/>
        <v>0</v>
      </c>
      <c r="L102" s="424">
        <f t="shared" si="56"/>
        <v>0</v>
      </c>
      <c r="M102" s="424">
        <f t="shared" si="56"/>
        <v>0</v>
      </c>
      <c r="N102" s="424">
        <f t="shared" si="56"/>
        <v>0</v>
      </c>
      <c r="O102" s="424">
        <f t="shared" si="56"/>
        <v>0</v>
      </c>
      <c r="P102" s="424">
        <f t="shared" si="56"/>
        <v>0</v>
      </c>
      <c r="Q102" s="397"/>
      <c r="R102" s="420"/>
    </row>
    <row r="103" spans="3:18">
      <c r="C103" s="391"/>
      <c r="D103" s="435"/>
      <c r="E103" s="374" t="s">
        <v>498</v>
      </c>
      <c r="F103" s="62" t="s">
        <v>413</v>
      </c>
      <c r="G103" s="392">
        <f t="shared" ref="G103:P103" si="57">G93+G98+G102</f>
        <v>154567.54896474333</v>
      </c>
      <c r="H103" s="392">
        <f t="shared" si="57"/>
        <v>0</v>
      </c>
      <c r="I103" s="392">
        <f t="shared" si="57"/>
        <v>0</v>
      </c>
      <c r="J103" s="392">
        <f t="shared" si="57"/>
        <v>0</v>
      </c>
      <c r="K103" s="392">
        <f t="shared" si="57"/>
        <v>0</v>
      </c>
      <c r="L103" s="392">
        <f t="shared" si="57"/>
        <v>0</v>
      </c>
      <c r="M103" s="392">
        <f t="shared" si="57"/>
        <v>0</v>
      </c>
      <c r="N103" s="392">
        <f t="shared" si="57"/>
        <v>0</v>
      </c>
      <c r="O103" s="392">
        <f t="shared" si="57"/>
        <v>0</v>
      </c>
      <c r="P103" s="392">
        <f t="shared" si="57"/>
        <v>0</v>
      </c>
      <c r="Q103" s="397"/>
      <c r="R103" s="420"/>
    </row>
    <row r="104" spans="3:18" ht="45">
      <c r="C104" s="421" t="s">
        <v>499</v>
      </c>
      <c r="D104" s="425"/>
      <c r="E104" s="335" t="s">
        <v>436</v>
      </c>
      <c r="F104" s="28" t="s">
        <v>123</v>
      </c>
      <c r="G104" s="412" t="s">
        <v>500</v>
      </c>
      <c r="H104" s="412" t="s">
        <v>501</v>
      </c>
      <c r="I104" s="412" t="s">
        <v>501</v>
      </c>
      <c r="J104" s="412" t="s">
        <v>502</v>
      </c>
      <c r="K104" s="412" t="s">
        <v>502</v>
      </c>
      <c r="L104" s="412" t="s">
        <v>502</v>
      </c>
      <c r="M104" s="412" t="s">
        <v>502</v>
      </c>
      <c r="N104" s="412" t="s">
        <v>502</v>
      </c>
      <c r="O104" s="412" t="s">
        <v>502</v>
      </c>
      <c r="P104" s="412" t="s">
        <v>502</v>
      </c>
      <c r="Q104" s="397"/>
      <c r="R104" s="420"/>
    </row>
    <row r="105" spans="3:18">
      <c r="C105" s="353"/>
      <c r="D105" s="426"/>
      <c r="E105" s="346" t="s">
        <v>503</v>
      </c>
      <c r="F105" s="28" t="s">
        <v>199</v>
      </c>
      <c r="G105" s="454"/>
      <c r="H105" s="454"/>
      <c r="I105" s="454"/>
      <c r="J105" s="454"/>
      <c r="K105" s="454"/>
      <c r="L105" s="454"/>
      <c r="M105" s="454"/>
      <c r="N105" s="454"/>
      <c r="O105" s="454"/>
      <c r="P105" s="454"/>
      <c r="Q105" s="397"/>
      <c r="R105" s="420"/>
    </row>
    <row r="106" spans="3:18">
      <c r="C106" s="353"/>
      <c r="D106" s="426"/>
      <c r="E106" s="336" t="s">
        <v>227</v>
      </c>
      <c r="F106" s="28" t="s">
        <v>278</v>
      </c>
      <c r="G106" s="438">
        <f>_xlfn.XLOOKUP(G104,Overpass_names_CS,Overpass_rates_CS)</f>
        <v>318522.57210048923</v>
      </c>
      <c r="H106" s="438">
        <f t="shared" ref="H106:P106" si="58">_xlfn.XLOOKUP(H104,Overpass_names_CS,Overpass_rates_CS)</f>
        <v>540292.99271166616</v>
      </c>
      <c r="I106" s="438">
        <f t="shared" si="58"/>
        <v>540292.99271166616</v>
      </c>
      <c r="J106" s="438">
        <f t="shared" si="58"/>
        <v>1735593.3589661038</v>
      </c>
      <c r="K106" s="438">
        <f t="shared" si="58"/>
        <v>1735593.3589661038</v>
      </c>
      <c r="L106" s="438">
        <f t="shared" si="58"/>
        <v>1735593.3589661038</v>
      </c>
      <c r="M106" s="438">
        <f t="shared" si="58"/>
        <v>1735593.3589661038</v>
      </c>
      <c r="N106" s="438">
        <f t="shared" si="58"/>
        <v>1735593.3589661038</v>
      </c>
      <c r="O106" s="438">
        <f t="shared" si="58"/>
        <v>1735593.3589661038</v>
      </c>
      <c r="P106" s="438">
        <f t="shared" si="58"/>
        <v>1735593.3589661038</v>
      </c>
      <c r="Q106" s="397"/>
      <c r="R106" s="427"/>
    </row>
    <row r="107" spans="3:18">
      <c r="C107" s="353"/>
      <c r="D107" s="426"/>
      <c r="E107" s="336" t="s">
        <v>229</v>
      </c>
      <c r="F107" s="28" t="s">
        <v>278</v>
      </c>
      <c r="G107" s="414"/>
      <c r="H107" s="414"/>
      <c r="I107" s="414"/>
      <c r="J107" s="414"/>
      <c r="K107" s="414"/>
      <c r="L107" s="414"/>
      <c r="M107" s="414"/>
      <c r="N107" s="414"/>
      <c r="O107" s="414"/>
      <c r="P107" s="414"/>
      <c r="Q107" s="397"/>
      <c r="R107" s="420"/>
    </row>
    <row r="108" spans="3:18">
      <c r="C108" s="355"/>
      <c r="D108" s="423"/>
      <c r="E108" s="379" t="s">
        <v>146</v>
      </c>
      <c r="F108" s="28" t="s">
        <v>207</v>
      </c>
      <c r="G108" s="424">
        <f>G105*IF(G107="",G106,G107)</f>
        <v>0</v>
      </c>
      <c r="H108" s="424">
        <f t="shared" ref="H108" si="59">H105*IF(H107="",H106,H107)</f>
        <v>0</v>
      </c>
      <c r="I108" s="424">
        <f t="shared" ref="I108" si="60">I105*IF(I107="",I106,I107)</f>
        <v>0</v>
      </c>
      <c r="J108" s="424">
        <f t="shared" ref="J108" si="61">J105*IF(J107="",J106,J107)</f>
        <v>0</v>
      </c>
      <c r="K108" s="424">
        <f t="shared" ref="K108" si="62">K105*IF(K107="",K106,K107)</f>
        <v>0</v>
      </c>
      <c r="L108" s="424">
        <f t="shared" ref="L108" si="63">L105*IF(L107="",L106,L107)</f>
        <v>0</v>
      </c>
      <c r="M108" s="424">
        <f t="shared" ref="M108" si="64">M105*IF(M107="",M106,M107)</f>
        <v>0</v>
      </c>
      <c r="N108" s="424">
        <f t="shared" ref="N108" si="65">N105*IF(N107="",N106,N107)</f>
        <v>0</v>
      </c>
      <c r="O108" s="424">
        <f t="shared" ref="O108" si="66">O105*IF(O107="",O106,O107)</f>
        <v>0</v>
      </c>
      <c r="P108" s="424">
        <f t="shared" ref="P108" si="67">P105*IF(P107="",P106,P107)</f>
        <v>0</v>
      </c>
      <c r="Q108" s="397"/>
      <c r="R108" s="420"/>
    </row>
    <row r="109" spans="3:18">
      <c r="C109" s="391"/>
      <c r="D109" s="435"/>
      <c r="E109" s="374" t="str">
        <f>C104</f>
        <v>Overpasses</v>
      </c>
      <c r="F109" s="62" t="s">
        <v>413</v>
      </c>
      <c r="G109" s="392">
        <f t="shared" ref="G109:P109" si="68">G108</f>
        <v>0</v>
      </c>
      <c r="H109" s="392">
        <f t="shared" si="68"/>
        <v>0</v>
      </c>
      <c r="I109" s="392">
        <f t="shared" si="68"/>
        <v>0</v>
      </c>
      <c r="J109" s="392">
        <f t="shared" si="68"/>
        <v>0</v>
      </c>
      <c r="K109" s="392">
        <f t="shared" si="68"/>
        <v>0</v>
      </c>
      <c r="L109" s="392">
        <f t="shared" si="68"/>
        <v>0</v>
      </c>
      <c r="M109" s="392">
        <f t="shared" si="68"/>
        <v>0</v>
      </c>
      <c r="N109" s="392">
        <f t="shared" si="68"/>
        <v>0</v>
      </c>
      <c r="O109" s="392">
        <f t="shared" si="68"/>
        <v>0</v>
      </c>
      <c r="P109" s="392">
        <f t="shared" si="68"/>
        <v>0</v>
      </c>
      <c r="Q109" s="397"/>
      <c r="R109" s="420"/>
    </row>
    <row r="110" spans="3:18">
      <c r="C110" s="421" t="s">
        <v>504</v>
      </c>
      <c r="D110" s="425"/>
      <c r="E110" s="335" t="s">
        <v>436</v>
      </c>
      <c r="F110" s="28" t="s">
        <v>123</v>
      </c>
      <c r="G110" s="412" t="s">
        <v>505</v>
      </c>
      <c r="H110" s="412" t="s">
        <v>506</v>
      </c>
      <c r="I110" s="412" t="s">
        <v>505</v>
      </c>
      <c r="J110" s="412" t="s">
        <v>505</v>
      </c>
      <c r="K110" s="412" t="s">
        <v>505</v>
      </c>
      <c r="L110" s="412" t="s">
        <v>505</v>
      </c>
      <c r="M110" s="412" t="s">
        <v>505</v>
      </c>
      <c r="N110" s="412" t="s">
        <v>505</v>
      </c>
      <c r="O110" s="412" t="s">
        <v>505</v>
      </c>
      <c r="P110" s="412" t="s">
        <v>505</v>
      </c>
      <c r="Q110" s="459"/>
      <c r="R110" s="420"/>
    </row>
    <row r="111" spans="3:18">
      <c r="C111" s="353"/>
      <c r="D111" s="426"/>
      <c r="E111" s="335" t="s">
        <v>353</v>
      </c>
      <c r="F111" s="28" t="s">
        <v>353</v>
      </c>
      <c r="G111" s="422" t="str">
        <f t="shared" ref="G111:P111" si="69">_xlfn.XLOOKUP(G110,Rail_names_CS,Rail_units_CS)</f>
        <v>m</v>
      </c>
      <c r="H111" s="422" t="str">
        <f t="shared" si="69"/>
        <v>m2</v>
      </c>
      <c r="I111" s="422" t="str">
        <f t="shared" si="69"/>
        <v>m</v>
      </c>
      <c r="J111" s="422" t="str">
        <f t="shared" si="69"/>
        <v>m</v>
      </c>
      <c r="K111" s="422" t="str">
        <f t="shared" si="69"/>
        <v>m</v>
      </c>
      <c r="L111" s="422" t="str">
        <f t="shared" si="69"/>
        <v>m</v>
      </c>
      <c r="M111" s="422" t="str">
        <f t="shared" si="69"/>
        <v>m</v>
      </c>
      <c r="N111" s="422" t="str">
        <f t="shared" si="69"/>
        <v>m</v>
      </c>
      <c r="O111" s="422" t="str">
        <f t="shared" si="69"/>
        <v>m</v>
      </c>
      <c r="P111" s="422" t="str">
        <f t="shared" si="69"/>
        <v>m</v>
      </c>
      <c r="Q111" s="397"/>
      <c r="R111" s="420"/>
    </row>
    <row r="112" spans="3:18">
      <c r="C112" s="353"/>
      <c r="D112" s="426"/>
      <c r="E112" s="346" t="s">
        <v>465</v>
      </c>
      <c r="F112" s="28" t="s">
        <v>507</v>
      </c>
      <c r="G112" s="454">
        <v>2592</v>
      </c>
      <c r="H112" s="454"/>
      <c r="I112" s="454"/>
      <c r="J112" s="454"/>
      <c r="K112" s="454"/>
      <c r="L112" s="454"/>
      <c r="M112" s="454"/>
      <c r="N112" s="454"/>
      <c r="O112" s="454"/>
      <c r="P112" s="454"/>
      <c r="Q112" s="397"/>
      <c r="R112" s="420"/>
    </row>
    <row r="113" spans="3:18">
      <c r="C113" s="353"/>
      <c r="D113" s="426"/>
      <c r="E113" s="336" t="s">
        <v>227</v>
      </c>
      <c r="F113" s="28" t="s">
        <v>352</v>
      </c>
      <c r="G113" s="342">
        <f t="shared" ref="G113:P113" si="70">_xlfn.XLOOKUP(G110,Rail_names_CS,Rail_rates_CS)</f>
        <v>72.619315080162522</v>
      </c>
      <c r="H113" s="342">
        <f t="shared" si="70"/>
        <v>249.98288853273485</v>
      </c>
      <c r="I113" s="342">
        <f t="shared" si="70"/>
        <v>72.619315080162522</v>
      </c>
      <c r="J113" s="342">
        <f t="shared" si="70"/>
        <v>72.619315080162522</v>
      </c>
      <c r="K113" s="342">
        <f t="shared" si="70"/>
        <v>72.619315080162522</v>
      </c>
      <c r="L113" s="342">
        <f t="shared" si="70"/>
        <v>72.619315080162522</v>
      </c>
      <c r="M113" s="342">
        <f t="shared" si="70"/>
        <v>72.619315080162522</v>
      </c>
      <c r="N113" s="342">
        <f t="shared" si="70"/>
        <v>72.619315080162522</v>
      </c>
      <c r="O113" s="342">
        <f t="shared" si="70"/>
        <v>72.619315080162522</v>
      </c>
      <c r="P113" s="342">
        <f t="shared" si="70"/>
        <v>72.619315080162522</v>
      </c>
      <c r="Q113" s="397"/>
      <c r="R113" s="420"/>
    </row>
    <row r="114" spans="3:18">
      <c r="C114" s="353"/>
      <c r="D114" s="426"/>
      <c r="E114" s="336" t="s">
        <v>229</v>
      </c>
      <c r="F114" s="28" t="s">
        <v>352</v>
      </c>
      <c r="G114" s="414"/>
      <c r="H114" s="414"/>
      <c r="I114" s="414"/>
      <c r="J114" s="414"/>
      <c r="K114" s="414"/>
      <c r="L114" s="414"/>
      <c r="M114" s="414"/>
      <c r="N114" s="414"/>
      <c r="O114" s="414"/>
      <c r="P114" s="414"/>
      <c r="Q114" s="397"/>
      <c r="R114" s="420"/>
    </row>
    <row r="115" spans="3:18">
      <c r="C115" s="355"/>
      <c r="D115" s="423"/>
      <c r="E115" s="379" t="s">
        <v>146</v>
      </c>
      <c r="F115" s="28" t="s">
        <v>207</v>
      </c>
      <c r="G115" s="424">
        <f>G112*IF(G114="",G113,G114)</f>
        <v>188229.26468778125</v>
      </c>
      <c r="H115" s="424">
        <f t="shared" ref="H115:P115" si="71">H112*IF(H114="",H113,H114)</f>
        <v>0</v>
      </c>
      <c r="I115" s="424">
        <f t="shared" si="71"/>
        <v>0</v>
      </c>
      <c r="J115" s="424">
        <f t="shared" si="71"/>
        <v>0</v>
      </c>
      <c r="K115" s="424">
        <f t="shared" si="71"/>
        <v>0</v>
      </c>
      <c r="L115" s="424">
        <f t="shared" si="71"/>
        <v>0</v>
      </c>
      <c r="M115" s="424">
        <f t="shared" si="71"/>
        <v>0</v>
      </c>
      <c r="N115" s="424">
        <f t="shared" si="71"/>
        <v>0</v>
      </c>
      <c r="O115" s="424">
        <f t="shared" si="71"/>
        <v>0</v>
      </c>
      <c r="P115" s="424">
        <f t="shared" si="71"/>
        <v>0</v>
      </c>
      <c r="Q115" s="397"/>
      <c r="R115" s="420"/>
    </row>
    <row r="116" spans="3:18">
      <c r="C116" s="391"/>
      <c r="D116" s="435"/>
      <c r="E116" s="374" t="str">
        <f>C110</f>
        <v>Rail facilities</v>
      </c>
      <c r="F116" s="62" t="s">
        <v>413</v>
      </c>
      <c r="G116" s="392">
        <f t="shared" ref="G116" si="72">G115</f>
        <v>188229.26468778125</v>
      </c>
      <c r="H116" s="392">
        <f t="shared" ref="H116" si="73">H115</f>
        <v>0</v>
      </c>
      <c r="I116" s="392">
        <f t="shared" ref="I116" si="74">I115</f>
        <v>0</v>
      </c>
      <c r="J116" s="392">
        <f t="shared" ref="J116" si="75">J115</f>
        <v>0</v>
      </c>
      <c r="K116" s="392">
        <f t="shared" ref="K116" si="76">K115</f>
        <v>0</v>
      </c>
      <c r="L116" s="392">
        <f t="shared" ref="L116" si="77">L115</f>
        <v>0</v>
      </c>
      <c r="M116" s="392">
        <f t="shared" ref="M116" si="78">M115</f>
        <v>0</v>
      </c>
      <c r="N116" s="392">
        <f t="shared" ref="N116" si="79">N115</f>
        <v>0</v>
      </c>
      <c r="O116" s="392">
        <f t="shared" ref="O116" si="80">O115</f>
        <v>0</v>
      </c>
      <c r="P116" s="392">
        <f t="shared" ref="P116" si="81">P115</f>
        <v>0</v>
      </c>
      <c r="Q116" s="397"/>
      <c r="R116" s="420"/>
    </row>
    <row r="117" spans="3:18" ht="22.5">
      <c r="C117" s="428" t="s">
        <v>508</v>
      </c>
      <c r="D117" s="429"/>
      <c r="E117" s="346" t="s">
        <v>509</v>
      </c>
      <c r="F117" s="28" t="s">
        <v>123</v>
      </c>
      <c r="G117" s="412" t="s">
        <v>510</v>
      </c>
      <c r="H117" s="412" t="s">
        <v>510</v>
      </c>
      <c r="I117" s="412" t="s">
        <v>511</v>
      </c>
      <c r="J117" s="412" t="s">
        <v>511</v>
      </c>
      <c r="K117" s="412" t="s">
        <v>511</v>
      </c>
      <c r="L117" s="412" t="s">
        <v>511</v>
      </c>
      <c r="M117" s="412" t="s">
        <v>511</v>
      </c>
      <c r="N117" s="412" t="s">
        <v>511</v>
      </c>
      <c r="O117" s="412" t="s">
        <v>511</v>
      </c>
      <c r="P117" s="412" t="s">
        <v>511</v>
      </c>
      <c r="Q117" s="397"/>
      <c r="R117" s="420"/>
    </row>
    <row r="118" spans="3:18">
      <c r="C118" s="430"/>
      <c r="D118" s="431"/>
      <c r="E118" s="346" t="s">
        <v>355</v>
      </c>
      <c r="F118" s="28" t="s">
        <v>221</v>
      </c>
      <c r="G118" s="455">
        <f>(G49*0.3+H49*0.5)*2.4</f>
        <v>33600</v>
      </c>
      <c r="H118" s="455"/>
      <c r="I118" s="455"/>
      <c r="J118" s="455"/>
      <c r="K118" s="455"/>
      <c r="L118" s="455"/>
      <c r="M118" s="455"/>
      <c r="N118" s="455"/>
      <c r="O118" s="455"/>
      <c r="P118" s="455"/>
      <c r="Q118" s="397"/>
      <c r="R118" s="420"/>
    </row>
    <row r="119" spans="3:18">
      <c r="C119" s="430"/>
      <c r="D119" s="431"/>
      <c r="E119" s="346" t="s">
        <v>227</v>
      </c>
      <c r="F119" s="28" t="s">
        <v>228</v>
      </c>
      <c r="G119" s="342">
        <f t="shared" ref="G119:P119" si="82">_xlfn.XLOOKUP(G117,Concrete_crush_names_CS,Concrete_crush_rates_CS)</f>
        <v>19.448751305509145</v>
      </c>
      <c r="H119" s="342">
        <f t="shared" si="82"/>
        <v>19.448751305509145</v>
      </c>
      <c r="I119" s="342">
        <f t="shared" si="82"/>
        <v>25.267917972175812</v>
      </c>
      <c r="J119" s="342">
        <f t="shared" si="82"/>
        <v>25.267917972175812</v>
      </c>
      <c r="K119" s="342">
        <f t="shared" si="82"/>
        <v>25.267917972175812</v>
      </c>
      <c r="L119" s="342">
        <f t="shared" si="82"/>
        <v>25.267917972175812</v>
      </c>
      <c r="M119" s="342">
        <f t="shared" si="82"/>
        <v>25.267917972175812</v>
      </c>
      <c r="N119" s="342">
        <f t="shared" si="82"/>
        <v>25.267917972175812</v>
      </c>
      <c r="O119" s="342">
        <f t="shared" si="82"/>
        <v>25.267917972175812</v>
      </c>
      <c r="P119" s="342">
        <f t="shared" si="82"/>
        <v>25.267917972175812</v>
      </c>
      <c r="Q119" s="397"/>
      <c r="R119" s="420"/>
    </row>
    <row r="120" spans="3:18">
      <c r="C120" s="430"/>
      <c r="D120" s="431"/>
      <c r="E120" s="346" t="s">
        <v>229</v>
      </c>
      <c r="F120" s="28" t="s">
        <v>228</v>
      </c>
      <c r="G120" s="414"/>
      <c r="H120" s="414"/>
      <c r="I120" s="414"/>
      <c r="J120" s="414"/>
      <c r="K120" s="414"/>
      <c r="L120" s="414"/>
      <c r="M120" s="414"/>
      <c r="N120" s="414"/>
      <c r="O120" s="414"/>
      <c r="P120" s="414"/>
      <c r="Q120" s="397"/>
      <c r="R120" s="420"/>
    </row>
    <row r="121" spans="3:18">
      <c r="C121" s="432"/>
      <c r="D121" s="433"/>
      <c r="E121" s="346" t="s">
        <v>146</v>
      </c>
      <c r="F121" s="28" t="s">
        <v>207</v>
      </c>
      <c r="G121" s="424">
        <f t="shared" ref="G121" si="83">IF(G120="",G119,G120)*G118</f>
        <v>653478.04386510723</v>
      </c>
      <c r="H121" s="424">
        <f t="shared" ref="H121:P121" si="84">IF(H120="",H119,H120)*H118</f>
        <v>0</v>
      </c>
      <c r="I121" s="424">
        <f t="shared" si="84"/>
        <v>0</v>
      </c>
      <c r="J121" s="424">
        <f t="shared" si="84"/>
        <v>0</v>
      </c>
      <c r="K121" s="424">
        <f t="shared" si="84"/>
        <v>0</v>
      </c>
      <c r="L121" s="424">
        <f t="shared" si="84"/>
        <v>0</v>
      </c>
      <c r="M121" s="424">
        <f t="shared" si="84"/>
        <v>0</v>
      </c>
      <c r="N121" s="424">
        <f t="shared" si="84"/>
        <v>0</v>
      </c>
      <c r="O121" s="424">
        <f t="shared" si="84"/>
        <v>0</v>
      </c>
      <c r="P121" s="424">
        <f t="shared" si="84"/>
        <v>0</v>
      </c>
      <c r="Q121" s="397"/>
      <c r="R121" s="420"/>
    </row>
    <row r="122" spans="3:18" ht="12" thickBot="1">
      <c r="C122" s="391"/>
      <c r="D122" s="373"/>
      <c r="E122" s="374" t="str">
        <f>C117</f>
        <v>Crush concrete if required for spreading</v>
      </c>
      <c r="F122" s="72"/>
      <c r="G122" s="365">
        <f>G121</f>
        <v>653478.04386510723</v>
      </c>
      <c r="H122" s="365">
        <f t="shared" ref="H122:P122" si="85">H121</f>
        <v>0</v>
      </c>
      <c r="I122" s="365">
        <f t="shared" si="85"/>
        <v>0</v>
      </c>
      <c r="J122" s="365">
        <f t="shared" si="85"/>
        <v>0</v>
      </c>
      <c r="K122" s="365">
        <f t="shared" si="85"/>
        <v>0</v>
      </c>
      <c r="L122" s="365">
        <f t="shared" si="85"/>
        <v>0</v>
      </c>
      <c r="M122" s="365">
        <f t="shared" si="85"/>
        <v>0</v>
      </c>
      <c r="N122" s="365">
        <f t="shared" si="85"/>
        <v>0</v>
      </c>
      <c r="O122" s="365">
        <f t="shared" si="85"/>
        <v>0</v>
      </c>
      <c r="P122" s="365">
        <f t="shared" si="85"/>
        <v>0</v>
      </c>
      <c r="Q122" s="397"/>
      <c r="R122" s="420"/>
    </row>
    <row r="123" spans="3:18" ht="12" thickTop="1">
      <c r="C123" s="375" t="s">
        <v>512</v>
      </c>
      <c r="D123" s="915" t="s">
        <v>513</v>
      </c>
      <c r="E123" s="346" t="s">
        <v>214</v>
      </c>
      <c r="F123" s="28" t="s">
        <v>299</v>
      </c>
      <c r="G123" s="460"/>
      <c r="H123" s="460"/>
      <c r="I123" s="460"/>
      <c r="J123" s="460"/>
      <c r="K123" s="460"/>
      <c r="L123" s="460"/>
      <c r="M123" s="460"/>
      <c r="N123" s="460"/>
      <c r="O123" s="460"/>
      <c r="P123" s="460"/>
      <c r="Q123" s="397"/>
      <c r="R123" s="420"/>
    </row>
    <row r="124" spans="3:18" ht="74.45" customHeight="1">
      <c r="C124" s="340"/>
      <c r="D124" s="916"/>
      <c r="E124" s="346" t="s">
        <v>514</v>
      </c>
      <c r="F124" s="28" t="s">
        <v>123</v>
      </c>
      <c r="G124" s="461" t="s">
        <v>515</v>
      </c>
      <c r="H124" s="461" t="s">
        <v>516</v>
      </c>
      <c r="I124" s="461" t="s">
        <v>517</v>
      </c>
      <c r="J124" s="461" t="s">
        <v>518</v>
      </c>
      <c r="K124" s="461" t="s">
        <v>519</v>
      </c>
      <c r="L124" s="461" t="s">
        <v>520</v>
      </c>
      <c r="M124" s="461" t="s">
        <v>521</v>
      </c>
      <c r="N124" s="461" t="s">
        <v>515</v>
      </c>
      <c r="O124" s="461" t="s">
        <v>515</v>
      </c>
      <c r="P124" s="461" t="s">
        <v>515</v>
      </c>
      <c r="Q124" s="397"/>
      <c r="R124" s="420"/>
    </row>
    <row r="125" spans="3:18">
      <c r="C125" s="340"/>
      <c r="D125" s="371"/>
      <c r="E125" s="346" t="s">
        <v>227</v>
      </c>
      <c r="F125" s="28" t="s">
        <v>329</v>
      </c>
      <c r="G125" s="342">
        <f t="shared" ref="G125:P125" si="86">_xlfn.XLOOKUP(G124,Drains_names_CS,Drains_rates_CS)</f>
        <v>17746.948711216752</v>
      </c>
      <c r="H125" s="342">
        <f t="shared" si="86"/>
        <v>20218.970183654852</v>
      </c>
      <c r="I125" s="342">
        <f t="shared" si="86"/>
        <v>22216.62782359769</v>
      </c>
      <c r="J125" s="342">
        <f t="shared" si="86"/>
        <v>23495.197934061274</v>
      </c>
      <c r="K125" s="342">
        <f t="shared" si="86"/>
        <v>30818.115265667206</v>
      </c>
      <c r="L125" s="342">
        <f t="shared" si="86"/>
        <v>4174</v>
      </c>
      <c r="M125" s="342">
        <f t="shared" si="86"/>
        <v>3930.220784661823</v>
      </c>
      <c r="N125" s="342">
        <f t="shared" si="86"/>
        <v>17746.948711216752</v>
      </c>
      <c r="O125" s="342">
        <f t="shared" si="86"/>
        <v>17746.948711216752</v>
      </c>
      <c r="P125" s="342">
        <f t="shared" si="86"/>
        <v>17746.948711216752</v>
      </c>
      <c r="Q125" s="397"/>
      <c r="R125" s="427"/>
    </row>
    <row r="126" spans="3:18">
      <c r="C126" s="340"/>
      <c r="D126" s="371"/>
      <c r="E126" s="384" t="s">
        <v>229</v>
      </c>
      <c r="F126" s="28" t="s">
        <v>241</v>
      </c>
      <c r="G126" s="414"/>
      <c r="H126" s="414"/>
      <c r="I126" s="414"/>
      <c r="J126" s="414"/>
      <c r="K126" s="414"/>
      <c r="L126" s="414"/>
      <c r="M126" s="414"/>
      <c r="N126" s="414"/>
      <c r="O126" s="414"/>
      <c r="P126" s="414"/>
      <c r="Q126" s="397"/>
      <c r="R126" s="420"/>
    </row>
    <row r="127" spans="3:18">
      <c r="C127" s="343"/>
      <c r="D127" s="377"/>
      <c r="E127" s="346" t="s">
        <v>146</v>
      </c>
      <c r="F127" s="28" t="s">
        <v>207</v>
      </c>
      <c r="G127" s="424">
        <f>IF(G126="",G125,G126)*G123</f>
        <v>0</v>
      </c>
      <c r="H127" s="424">
        <f t="shared" ref="H127:P127" si="87">IF(H126="",H125,H126)*H123</f>
        <v>0</v>
      </c>
      <c r="I127" s="424">
        <f t="shared" si="87"/>
        <v>0</v>
      </c>
      <c r="J127" s="424">
        <f t="shared" si="87"/>
        <v>0</v>
      </c>
      <c r="K127" s="424">
        <f t="shared" si="87"/>
        <v>0</v>
      </c>
      <c r="L127" s="424">
        <f t="shared" si="87"/>
        <v>0</v>
      </c>
      <c r="M127" s="424">
        <f t="shared" si="87"/>
        <v>0</v>
      </c>
      <c r="N127" s="424">
        <f t="shared" si="87"/>
        <v>0</v>
      </c>
      <c r="O127" s="424">
        <f t="shared" si="87"/>
        <v>0</v>
      </c>
      <c r="P127" s="424">
        <f t="shared" si="87"/>
        <v>0</v>
      </c>
      <c r="Q127" s="397"/>
      <c r="R127" s="420"/>
    </row>
    <row r="128" spans="3:18">
      <c r="C128" s="375" t="s">
        <v>522</v>
      </c>
      <c r="D128" s="376" t="s">
        <v>523</v>
      </c>
      <c r="E128" s="346" t="s">
        <v>214</v>
      </c>
      <c r="F128" s="28" t="s">
        <v>299</v>
      </c>
      <c r="G128" s="460"/>
      <c r="H128" s="460"/>
      <c r="I128" s="460"/>
      <c r="J128" s="460"/>
      <c r="K128" s="460"/>
      <c r="L128" s="460"/>
      <c r="M128" s="460"/>
      <c r="N128" s="460"/>
      <c r="O128" s="460"/>
      <c r="P128" s="460"/>
      <c r="Q128" s="397"/>
      <c r="R128" s="420"/>
    </row>
    <row r="129" spans="2:18">
      <c r="C129" s="340"/>
      <c r="D129" s="371"/>
      <c r="E129" s="346" t="s">
        <v>227</v>
      </c>
      <c r="F129" s="28" t="s">
        <v>299</v>
      </c>
      <c r="G129" s="342">
        <f>'Cost Schedule'!$D$584+'Cost Schedule'!$D$210</f>
        <v>796.84982826418661</v>
      </c>
      <c r="H129" s="342">
        <f>'Cost Schedule'!$D$584+'Cost Schedule'!$D$210</f>
        <v>796.84982826418661</v>
      </c>
      <c r="I129" s="342">
        <f>'Cost Schedule'!$D$584+'Cost Schedule'!$D$210</f>
        <v>796.84982826418661</v>
      </c>
      <c r="J129" s="342">
        <f>'Cost Schedule'!$D$584+'Cost Schedule'!$D$210</f>
        <v>796.84982826418661</v>
      </c>
      <c r="K129" s="342">
        <f>'Cost Schedule'!$D$584+'Cost Schedule'!$D$210</f>
        <v>796.84982826418661</v>
      </c>
      <c r="L129" s="342">
        <f>'Cost Schedule'!$D$584+'Cost Schedule'!$D$210</f>
        <v>796.84982826418661</v>
      </c>
      <c r="M129" s="342">
        <f>'Cost Schedule'!$D$584+'Cost Schedule'!$D$210</f>
        <v>796.84982826418661</v>
      </c>
      <c r="N129" s="342">
        <f>'Cost Schedule'!$D$584+'Cost Schedule'!$D$210</f>
        <v>796.84982826418661</v>
      </c>
      <c r="O129" s="342">
        <f>'Cost Schedule'!$D$584+'Cost Schedule'!$D$210</f>
        <v>796.84982826418661</v>
      </c>
      <c r="P129" s="342">
        <f>'Cost Schedule'!$D$584+'Cost Schedule'!$D$210</f>
        <v>796.84982826418661</v>
      </c>
      <c r="Q129" s="397"/>
      <c r="R129" s="427"/>
    </row>
    <row r="130" spans="2:18">
      <c r="C130" s="340"/>
      <c r="D130" s="371"/>
      <c r="E130" s="384" t="s">
        <v>229</v>
      </c>
      <c r="F130" s="28" t="s">
        <v>241</v>
      </c>
      <c r="G130" s="414"/>
      <c r="H130" s="414"/>
      <c r="I130" s="414"/>
      <c r="J130" s="414"/>
      <c r="K130" s="414"/>
      <c r="L130" s="414"/>
      <c r="M130" s="414"/>
      <c r="N130" s="414"/>
      <c r="O130" s="414"/>
      <c r="P130" s="414"/>
      <c r="Q130" s="397"/>
      <c r="R130" s="420"/>
    </row>
    <row r="131" spans="2:18">
      <c r="C131" s="343"/>
      <c r="D131" s="377"/>
      <c r="E131" s="346" t="s">
        <v>146</v>
      </c>
      <c r="F131" s="28" t="s">
        <v>207</v>
      </c>
      <c r="G131" s="378">
        <f t="shared" ref="G131:P131" si="88">IF(G130="",G129,G130)*G128</f>
        <v>0</v>
      </c>
      <c r="H131" s="378">
        <f t="shared" si="88"/>
        <v>0</v>
      </c>
      <c r="I131" s="378">
        <f t="shared" si="88"/>
        <v>0</v>
      </c>
      <c r="J131" s="378">
        <f t="shared" si="88"/>
        <v>0</v>
      </c>
      <c r="K131" s="378">
        <f t="shared" si="88"/>
        <v>0</v>
      </c>
      <c r="L131" s="378">
        <f t="shared" si="88"/>
        <v>0</v>
      </c>
      <c r="M131" s="378">
        <f t="shared" si="88"/>
        <v>0</v>
      </c>
      <c r="N131" s="378">
        <f t="shared" si="88"/>
        <v>0</v>
      </c>
      <c r="O131" s="378">
        <f t="shared" si="88"/>
        <v>0</v>
      </c>
      <c r="P131" s="378">
        <f t="shared" si="88"/>
        <v>0</v>
      </c>
      <c r="Q131" s="397"/>
      <c r="R131" s="420"/>
    </row>
    <row r="132" spans="2:18">
      <c r="C132" s="372"/>
      <c r="D132" s="373"/>
      <c r="E132" s="374" t="s">
        <v>524</v>
      </c>
      <c r="F132" s="72"/>
      <c r="G132" s="392">
        <f t="shared" ref="G132:P132" si="89">G127+G131</f>
        <v>0</v>
      </c>
      <c r="H132" s="392">
        <f t="shared" si="89"/>
        <v>0</v>
      </c>
      <c r="I132" s="392">
        <f t="shared" si="89"/>
        <v>0</v>
      </c>
      <c r="J132" s="392">
        <f t="shared" si="89"/>
        <v>0</v>
      </c>
      <c r="K132" s="392">
        <f t="shared" si="89"/>
        <v>0</v>
      </c>
      <c r="L132" s="392">
        <f t="shared" si="89"/>
        <v>0</v>
      </c>
      <c r="M132" s="392">
        <f t="shared" si="89"/>
        <v>0</v>
      </c>
      <c r="N132" s="392">
        <f t="shared" si="89"/>
        <v>0</v>
      </c>
      <c r="O132" s="392">
        <f t="shared" si="89"/>
        <v>0</v>
      </c>
      <c r="P132" s="392">
        <f t="shared" si="89"/>
        <v>0</v>
      </c>
      <c r="Q132" s="397"/>
      <c r="R132" s="420"/>
    </row>
    <row r="133" spans="2:18" ht="45">
      <c r="C133" s="428" t="s">
        <v>525</v>
      </c>
      <c r="D133" s="429"/>
      <c r="E133" s="346" t="s">
        <v>311</v>
      </c>
      <c r="F133" s="28" t="s">
        <v>123</v>
      </c>
      <c r="G133" s="412" t="s">
        <v>526</v>
      </c>
      <c r="H133" s="412" t="s">
        <v>527</v>
      </c>
      <c r="I133" s="412" t="s">
        <v>528</v>
      </c>
      <c r="J133" s="412" t="s">
        <v>527</v>
      </c>
      <c r="K133" s="412" t="s">
        <v>527</v>
      </c>
      <c r="L133" s="412" t="s">
        <v>527</v>
      </c>
      <c r="M133" s="412" t="s">
        <v>527</v>
      </c>
      <c r="N133" s="412" t="s">
        <v>527</v>
      </c>
      <c r="O133" s="412" t="s">
        <v>527</v>
      </c>
      <c r="P133" s="412" t="s">
        <v>527</v>
      </c>
      <c r="Q133" s="397"/>
      <c r="R133" s="420"/>
    </row>
    <row r="134" spans="2:18">
      <c r="C134" s="430"/>
      <c r="D134" s="431"/>
      <c r="E134" s="346" t="s">
        <v>355</v>
      </c>
      <c r="F134" s="28" t="s">
        <v>199</v>
      </c>
      <c r="G134" s="455">
        <v>3</v>
      </c>
      <c r="H134" s="455"/>
      <c r="I134" s="455"/>
      <c r="J134" s="455"/>
      <c r="K134" s="455"/>
      <c r="L134" s="455"/>
      <c r="M134" s="455"/>
      <c r="N134" s="455"/>
      <c r="O134" s="455"/>
      <c r="P134" s="455"/>
      <c r="Q134" s="397"/>
      <c r="R134" s="420"/>
    </row>
    <row r="135" spans="2:18">
      <c r="C135" s="430"/>
      <c r="D135" s="431"/>
      <c r="E135" s="346" t="s">
        <v>227</v>
      </c>
      <c r="F135" s="28" t="s">
        <v>529</v>
      </c>
      <c r="G135" s="342">
        <f t="shared" ref="G135:P135" si="90">_xlfn.XLOOKUP(G133,Bores_infra_names_CS,Bores_infra_rates_CS)</f>
        <v>38245.445</v>
      </c>
      <c r="H135" s="342">
        <f t="shared" si="90"/>
        <v>7605.3799200000003</v>
      </c>
      <c r="I135" s="342">
        <f t="shared" si="90"/>
        <v>49172.715000000004</v>
      </c>
      <c r="J135" s="342">
        <f t="shared" si="90"/>
        <v>7605.3799200000003</v>
      </c>
      <c r="K135" s="342">
        <f t="shared" si="90"/>
        <v>7605.3799200000003</v>
      </c>
      <c r="L135" s="342">
        <f t="shared" si="90"/>
        <v>7605.3799200000003</v>
      </c>
      <c r="M135" s="342">
        <f t="shared" si="90"/>
        <v>7605.3799200000003</v>
      </c>
      <c r="N135" s="342">
        <f t="shared" si="90"/>
        <v>7605.3799200000003</v>
      </c>
      <c r="O135" s="342">
        <f t="shared" si="90"/>
        <v>7605.3799200000003</v>
      </c>
      <c r="P135" s="342">
        <f t="shared" si="90"/>
        <v>7605.3799200000003</v>
      </c>
      <c r="Q135" s="397"/>
      <c r="R135" s="420"/>
    </row>
    <row r="136" spans="2:18">
      <c r="C136" s="430"/>
      <c r="D136" s="431"/>
      <c r="E136" s="346" t="s">
        <v>229</v>
      </c>
      <c r="F136" s="28" t="s">
        <v>529</v>
      </c>
      <c r="G136" s="414"/>
      <c r="H136" s="414"/>
      <c r="I136" s="414"/>
      <c r="J136" s="414"/>
      <c r="K136" s="414"/>
      <c r="L136" s="414"/>
      <c r="M136" s="414"/>
      <c r="N136" s="414"/>
      <c r="O136" s="414"/>
      <c r="P136" s="414"/>
      <c r="Q136" s="397"/>
      <c r="R136" s="420"/>
    </row>
    <row r="137" spans="2:18">
      <c r="C137" s="432"/>
      <c r="D137" s="433"/>
      <c r="E137" s="346" t="s">
        <v>146</v>
      </c>
      <c r="F137" s="28" t="s">
        <v>207</v>
      </c>
      <c r="G137" s="424">
        <f t="shared" ref="G137:P137" si="91">IF(G136="",G135,G136)*G134</f>
        <v>114736.33499999999</v>
      </c>
      <c r="H137" s="424">
        <f t="shared" si="91"/>
        <v>0</v>
      </c>
      <c r="I137" s="424">
        <f t="shared" si="91"/>
        <v>0</v>
      </c>
      <c r="J137" s="424">
        <f t="shared" si="91"/>
        <v>0</v>
      </c>
      <c r="K137" s="424">
        <f t="shared" si="91"/>
        <v>0</v>
      </c>
      <c r="L137" s="424">
        <f t="shared" si="91"/>
        <v>0</v>
      </c>
      <c r="M137" s="424">
        <f t="shared" si="91"/>
        <v>0</v>
      </c>
      <c r="N137" s="424">
        <f t="shared" si="91"/>
        <v>0</v>
      </c>
      <c r="O137" s="424">
        <f t="shared" si="91"/>
        <v>0</v>
      </c>
      <c r="P137" s="424">
        <f t="shared" si="91"/>
        <v>0</v>
      </c>
      <c r="Q137" s="397"/>
      <c r="R137" s="420"/>
    </row>
    <row r="138" spans="2:18" ht="12" thickBot="1">
      <c r="C138" s="391"/>
      <c r="D138" s="373"/>
      <c r="E138" s="374" t="s">
        <v>530</v>
      </c>
      <c r="F138" s="72"/>
      <c r="G138" s="365">
        <f>G137</f>
        <v>114736.33499999999</v>
      </c>
      <c r="H138" s="365">
        <f t="shared" ref="H138:P138" si="92">H137</f>
        <v>0</v>
      </c>
      <c r="I138" s="365">
        <f t="shared" si="92"/>
        <v>0</v>
      </c>
      <c r="J138" s="365">
        <f t="shared" si="92"/>
        <v>0</v>
      </c>
      <c r="K138" s="365">
        <f t="shared" si="92"/>
        <v>0</v>
      </c>
      <c r="L138" s="365">
        <f t="shared" si="92"/>
        <v>0</v>
      </c>
      <c r="M138" s="365">
        <f t="shared" si="92"/>
        <v>0</v>
      </c>
      <c r="N138" s="365">
        <f t="shared" si="92"/>
        <v>0</v>
      </c>
      <c r="O138" s="365">
        <f t="shared" si="92"/>
        <v>0</v>
      </c>
      <c r="P138" s="365">
        <f t="shared" si="92"/>
        <v>0</v>
      </c>
      <c r="Q138" s="397"/>
      <c r="R138" s="420"/>
    </row>
    <row r="139" spans="2:18" ht="12" thickTop="1">
      <c r="C139" s="428" t="s">
        <v>531</v>
      </c>
      <c r="D139" s="431"/>
      <c r="E139" s="346" t="s">
        <v>355</v>
      </c>
      <c r="F139" s="28" t="s">
        <v>199</v>
      </c>
      <c r="G139" s="455"/>
      <c r="H139" s="455"/>
      <c r="I139" s="455"/>
      <c r="J139" s="455"/>
      <c r="K139" s="455"/>
      <c r="L139" s="455"/>
      <c r="M139" s="455"/>
      <c r="N139" s="455"/>
      <c r="O139" s="455"/>
      <c r="P139" s="455"/>
      <c r="Q139" s="397"/>
      <c r="R139" s="420"/>
    </row>
    <row r="140" spans="2:18">
      <c r="C140" s="430"/>
      <c r="D140" s="431"/>
      <c r="E140" s="346" t="s">
        <v>227</v>
      </c>
      <c r="F140" s="28" t="s">
        <v>532</v>
      </c>
      <c r="G140" s="342">
        <f>'Cost Schedule'!$D$560</f>
        <v>4689.5497895735261</v>
      </c>
      <c r="H140" s="342">
        <f>'Cost Schedule'!$D$560</f>
        <v>4689.5497895735261</v>
      </c>
      <c r="I140" s="342">
        <f>'Cost Schedule'!$D$560</f>
        <v>4689.5497895735261</v>
      </c>
      <c r="J140" s="342">
        <f>'Cost Schedule'!$D$560</f>
        <v>4689.5497895735261</v>
      </c>
      <c r="K140" s="342">
        <f>'Cost Schedule'!$D$560</f>
        <v>4689.5497895735261</v>
      </c>
      <c r="L140" s="342">
        <f>'Cost Schedule'!$D$560</f>
        <v>4689.5497895735261</v>
      </c>
      <c r="M140" s="342">
        <f>'Cost Schedule'!$D$560</f>
        <v>4689.5497895735261</v>
      </c>
      <c r="N140" s="342">
        <f>'Cost Schedule'!$D$560</f>
        <v>4689.5497895735261</v>
      </c>
      <c r="O140" s="342">
        <f>'Cost Schedule'!$D$560</f>
        <v>4689.5497895735261</v>
      </c>
      <c r="P140" s="342">
        <f>'Cost Schedule'!$D$560</f>
        <v>4689.5497895735261</v>
      </c>
      <c r="Q140" s="397"/>
      <c r="R140" s="420"/>
    </row>
    <row r="141" spans="2:18">
      <c r="C141" s="430"/>
      <c r="D141" s="431"/>
      <c r="E141" s="346" t="s">
        <v>229</v>
      </c>
      <c r="F141" s="28" t="s">
        <v>532</v>
      </c>
      <c r="G141" s="414"/>
      <c r="H141" s="414"/>
      <c r="I141" s="414"/>
      <c r="J141" s="414"/>
      <c r="K141" s="414"/>
      <c r="L141" s="414"/>
      <c r="M141" s="414"/>
      <c r="N141" s="414"/>
      <c r="O141" s="414"/>
      <c r="P141" s="414"/>
      <c r="Q141" s="397"/>
      <c r="R141" s="420"/>
    </row>
    <row r="142" spans="2:18">
      <c r="C142" s="432"/>
      <c r="D142" s="433"/>
      <c r="E142" s="346" t="s">
        <v>146</v>
      </c>
      <c r="F142" s="28" t="s">
        <v>207</v>
      </c>
      <c r="G142" s="424">
        <f t="shared" ref="G142:P142" si="93">IF(G141="",G140,G141)*G139</f>
        <v>0</v>
      </c>
      <c r="H142" s="424">
        <f t="shared" si="93"/>
        <v>0</v>
      </c>
      <c r="I142" s="424">
        <f t="shared" si="93"/>
        <v>0</v>
      </c>
      <c r="J142" s="424">
        <f t="shared" si="93"/>
        <v>0</v>
      </c>
      <c r="K142" s="424">
        <f t="shared" si="93"/>
        <v>0</v>
      </c>
      <c r="L142" s="424">
        <f t="shared" si="93"/>
        <v>0</v>
      </c>
      <c r="M142" s="424">
        <f t="shared" si="93"/>
        <v>0</v>
      </c>
      <c r="N142" s="424">
        <f t="shared" si="93"/>
        <v>0</v>
      </c>
      <c r="O142" s="424">
        <f t="shared" si="93"/>
        <v>0</v>
      </c>
      <c r="P142" s="424">
        <f t="shared" si="93"/>
        <v>0</v>
      </c>
      <c r="Q142" s="397"/>
      <c r="R142" s="420"/>
    </row>
    <row r="143" spans="2:18" ht="12" thickBot="1">
      <c r="C143" s="391"/>
      <c r="D143" s="373"/>
      <c r="E143" s="374" t="str">
        <f>C139</f>
        <v>Decommission and dispose of flares</v>
      </c>
      <c r="F143" s="72"/>
      <c r="G143" s="365">
        <f>G142</f>
        <v>0</v>
      </c>
      <c r="H143" s="365">
        <f t="shared" ref="H143:P143" si="94">H142</f>
        <v>0</v>
      </c>
      <c r="I143" s="365">
        <f t="shared" si="94"/>
        <v>0</v>
      </c>
      <c r="J143" s="365">
        <f t="shared" si="94"/>
        <v>0</v>
      </c>
      <c r="K143" s="365">
        <f t="shared" si="94"/>
        <v>0</v>
      </c>
      <c r="L143" s="365">
        <f t="shared" si="94"/>
        <v>0</v>
      </c>
      <c r="M143" s="365">
        <f t="shared" si="94"/>
        <v>0</v>
      </c>
      <c r="N143" s="365">
        <f t="shared" si="94"/>
        <v>0</v>
      </c>
      <c r="O143" s="365">
        <f t="shared" si="94"/>
        <v>0</v>
      </c>
      <c r="P143" s="365">
        <f t="shared" si="94"/>
        <v>0</v>
      </c>
      <c r="Q143" s="397"/>
      <c r="R143" s="420"/>
    </row>
    <row r="144" spans="2:18" ht="68.25" thickTop="1">
      <c r="B144" s="94" t="s">
        <v>533</v>
      </c>
      <c r="C144" s="421" t="s">
        <v>534</v>
      </c>
      <c r="D144" s="352"/>
      <c r="E144" s="335" t="s">
        <v>55</v>
      </c>
      <c r="F144" s="28" t="s">
        <v>123</v>
      </c>
      <c r="G144" s="462" t="s">
        <v>535</v>
      </c>
      <c r="H144" s="462" t="s">
        <v>535</v>
      </c>
      <c r="I144" s="462" t="s">
        <v>535</v>
      </c>
      <c r="J144" s="462" t="s">
        <v>536</v>
      </c>
      <c r="K144" s="462" t="s">
        <v>537</v>
      </c>
      <c r="L144" s="462" t="s">
        <v>538</v>
      </c>
      <c r="M144" s="462" t="s">
        <v>535</v>
      </c>
      <c r="N144" s="462" t="s">
        <v>535</v>
      </c>
      <c r="O144" s="462" t="s">
        <v>535</v>
      </c>
      <c r="P144" s="462" t="s">
        <v>535</v>
      </c>
      <c r="Q144" s="397"/>
      <c r="R144" s="420"/>
    </row>
    <row r="145" spans="2:18">
      <c r="B145" s="94" t="s">
        <v>533</v>
      </c>
      <c r="C145" s="353"/>
      <c r="D145" s="354"/>
      <c r="E145" s="335" t="s">
        <v>214</v>
      </c>
      <c r="F145" s="28" t="s">
        <v>299</v>
      </c>
      <c r="G145" s="455">
        <f>0.068+0.617+0.075+3.781+1.296+0.084+16.193+3.057+3.772</f>
        <v>28.942999999999998</v>
      </c>
      <c r="H145" s="455"/>
      <c r="I145" s="455"/>
      <c r="J145" s="455"/>
      <c r="K145" s="455"/>
      <c r="L145" s="455"/>
      <c r="M145" s="455"/>
      <c r="N145" s="455"/>
      <c r="O145" s="455"/>
      <c r="P145" s="455"/>
      <c r="Q145" s="397"/>
      <c r="R145" s="420"/>
    </row>
    <row r="146" spans="2:18">
      <c r="B146" s="94" t="s">
        <v>533</v>
      </c>
      <c r="C146" s="353"/>
      <c r="D146" s="354"/>
      <c r="E146" s="335" t="s">
        <v>204</v>
      </c>
      <c r="F146" s="28" t="s">
        <v>329</v>
      </c>
      <c r="G146" s="438">
        <f t="shared" ref="G146:P146" si="95">_xlfn.XLOOKUP(G144,Maintenance_rehab_areas_names_CS,Maintenance_rehab_areas_rates_CS)</f>
        <v>1047.9768316769243</v>
      </c>
      <c r="H146" s="438">
        <f t="shared" si="95"/>
        <v>1047.9768316769243</v>
      </c>
      <c r="I146" s="438">
        <f t="shared" si="95"/>
        <v>1047.9768316769243</v>
      </c>
      <c r="J146" s="438">
        <f t="shared" si="95"/>
        <v>1978.1198943934883</v>
      </c>
      <c r="K146" s="438">
        <f t="shared" si="95"/>
        <v>3401.0928673664612</v>
      </c>
      <c r="L146" s="438">
        <f t="shared" si="95"/>
        <v>27579.416003948303</v>
      </c>
      <c r="M146" s="438">
        <f t="shared" si="95"/>
        <v>1047.9768316769243</v>
      </c>
      <c r="N146" s="438">
        <f t="shared" si="95"/>
        <v>1047.9768316769243</v>
      </c>
      <c r="O146" s="438">
        <f t="shared" si="95"/>
        <v>1047.9768316769243</v>
      </c>
      <c r="P146" s="438">
        <f t="shared" si="95"/>
        <v>1047.9768316769243</v>
      </c>
      <c r="Q146" s="397"/>
      <c r="R146" s="420"/>
    </row>
    <row r="147" spans="2:18">
      <c r="B147" s="94" t="s">
        <v>533</v>
      </c>
      <c r="C147" s="353"/>
      <c r="D147" s="354"/>
      <c r="E147" s="335" t="s">
        <v>206</v>
      </c>
      <c r="F147" s="28" t="s">
        <v>329</v>
      </c>
      <c r="G147" s="414"/>
      <c r="H147" s="414"/>
      <c r="I147" s="414"/>
      <c r="J147" s="414"/>
      <c r="K147" s="414"/>
      <c r="L147" s="414"/>
      <c r="M147" s="414"/>
      <c r="N147" s="414"/>
      <c r="O147" s="414"/>
      <c r="P147" s="414"/>
      <c r="Q147" s="397"/>
      <c r="R147" s="420"/>
    </row>
    <row r="148" spans="2:18">
      <c r="B148" s="94" t="s">
        <v>533</v>
      </c>
      <c r="C148" s="355"/>
      <c r="D148" s="356"/>
      <c r="E148" s="335" t="s">
        <v>146</v>
      </c>
      <c r="F148" s="28" t="s">
        <v>207</v>
      </c>
      <c r="G148" s="380">
        <f t="shared" ref="G148:P148" si="96">G145*IF(G147="",G146,G147)</f>
        <v>30331.59343922522</v>
      </c>
      <c r="H148" s="380">
        <f t="shared" si="96"/>
        <v>0</v>
      </c>
      <c r="I148" s="380">
        <f t="shared" si="96"/>
        <v>0</v>
      </c>
      <c r="J148" s="380">
        <f t="shared" si="96"/>
        <v>0</v>
      </c>
      <c r="K148" s="380">
        <f t="shared" si="96"/>
        <v>0</v>
      </c>
      <c r="L148" s="380">
        <f t="shared" si="96"/>
        <v>0</v>
      </c>
      <c r="M148" s="380">
        <f t="shared" si="96"/>
        <v>0</v>
      </c>
      <c r="N148" s="380">
        <f t="shared" si="96"/>
        <v>0</v>
      </c>
      <c r="O148" s="380">
        <f t="shared" si="96"/>
        <v>0</v>
      </c>
      <c r="P148" s="380">
        <f t="shared" si="96"/>
        <v>0</v>
      </c>
      <c r="Q148" s="397"/>
      <c r="R148" s="420"/>
    </row>
    <row r="149" spans="2:18">
      <c r="B149" s="94" t="s">
        <v>533</v>
      </c>
      <c r="C149" s="439"/>
      <c r="D149" s="440"/>
      <c r="E149" s="440" t="str">
        <f>C144</f>
        <v>Maintenance of Rehabilitated Areas and Repairs</v>
      </c>
      <c r="F149" s="441"/>
      <c r="G149" s="97">
        <f>G148</f>
        <v>30331.59343922522</v>
      </c>
      <c r="H149" s="97">
        <f t="shared" ref="H149:P149" si="97">H148</f>
        <v>0</v>
      </c>
      <c r="I149" s="97">
        <f t="shared" si="97"/>
        <v>0</v>
      </c>
      <c r="J149" s="97">
        <f t="shared" si="97"/>
        <v>0</v>
      </c>
      <c r="K149" s="97">
        <f t="shared" si="97"/>
        <v>0</v>
      </c>
      <c r="L149" s="97">
        <f t="shared" si="97"/>
        <v>0</v>
      </c>
      <c r="M149" s="97">
        <f t="shared" si="97"/>
        <v>0</v>
      </c>
      <c r="N149" s="97">
        <f t="shared" si="97"/>
        <v>0</v>
      </c>
      <c r="O149" s="97">
        <f t="shared" si="97"/>
        <v>0</v>
      </c>
      <c r="P149" s="97">
        <f t="shared" si="97"/>
        <v>0</v>
      </c>
      <c r="Q149" s="397"/>
      <c r="R149" s="420"/>
    </row>
    <row r="150" spans="2:18">
      <c r="B150" s="94" t="s">
        <v>533</v>
      </c>
      <c r="C150" s="375" t="s">
        <v>296</v>
      </c>
      <c r="D150" s="376" t="str">
        <f t="shared" ref="D150" si="98">Growth_media</f>
        <v>Growth media</v>
      </c>
      <c r="E150" s="346" t="s">
        <v>214</v>
      </c>
      <c r="F150" s="28" t="s">
        <v>299</v>
      </c>
      <c r="G150" s="411"/>
      <c r="H150" s="411"/>
      <c r="I150" s="411"/>
      <c r="J150" s="411"/>
      <c r="K150" s="411"/>
      <c r="L150" s="411"/>
      <c r="M150" s="411"/>
      <c r="N150" s="411"/>
      <c r="O150" s="411"/>
      <c r="P150" s="411"/>
      <c r="Q150" s="397"/>
      <c r="R150" s="427"/>
    </row>
    <row r="151" spans="2:18">
      <c r="B151" s="94" t="s">
        <v>533</v>
      </c>
      <c r="C151" s="340"/>
      <c r="D151" s="371"/>
      <c r="E151" s="379" t="s">
        <v>304</v>
      </c>
      <c r="F151" s="28" t="s">
        <v>211</v>
      </c>
      <c r="G151" s="70">
        <f t="shared" ref="G151:P151" si="99">Haul_roads_track_rail_growth_media_thickness/Conv_mm_in_metres</f>
        <v>0.15</v>
      </c>
      <c r="H151" s="70">
        <f t="shared" si="99"/>
        <v>0.15</v>
      </c>
      <c r="I151" s="70">
        <f t="shared" si="99"/>
        <v>0.15</v>
      </c>
      <c r="J151" s="70">
        <f t="shared" si="99"/>
        <v>0.15</v>
      </c>
      <c r="K151" s="70">
        <f t="shared" si="99"/>
        <v>0.15</v>
      </c>
      <c r="L151" s="70">
        <f t="shared" si="99"/>
        <v>0.15</v>
      </c>
      <c r="M151" s="70">
        <f t="shared" si="99"/>
        <v>0.15</v>
      </c>
      <c r="N151" s="70">
        <f t="shared" si="99"/>
        <v>0.15</v>
      </c>
      <c r="O151" s="70">
        <f t="shared" si="99"/>
        <v>0.15</v>
      </c>
      <c r="P151" s="70">
        <f t="shared" si="99"/>
        <v>0.15</v>
      </c>
      <c r="Q151" s="397"/>
      <c r="R151" s="420"/>
    </row>
    <row r="152" spans="2:18">
      <c r="B152" s="94"/>
      <c r="C152" s="340"/>
      <c r="D152" s="371"/>
      <c r="E152" s="379" t="s">
        <v>305</v>
      </c>
      <c r="F152" s="28" t="s">
        <v>211</v>
      </c>
      <c r="G152" s="411"/>
      <c r="H152" s="411"/>
      <c r="I152" s="411"/>
      <c r="J152" s="411"/>
      <c r="K152" s="411"/>
      <c r="L152" s="411"/>
      <c r="M152" s="411"/>
      <c r="N152" s="411"/>
      <c r="O152" s="411"/>
      <c r="P152" s="411"/>
      <c r="Q152" s="397"/>
      <c r="R152" s="427"/>
    </row>
    <row r="153" spans="2:18">
      <c r="B153" s="94"/>
      <c r="C153" s="340"/>
      <c r="D153" s="371"/>
      <c r="E153" s="379" t="s">
        <v>306</v>
      </c>
      <c r="F153" s="28" t="s">
        <v>211</v>
      </c>
      <c r="G153" s="70">
        <f>IF(G152="",G151,G152)</f>
        <v>0.15</v>
      </c>
      <c r="H153" s="70">
        <f t="shared" ref="H153:P153" si="100">IF(H152="",H151,H152)</f>
        <v>0.15</v>
      </c>
      <c r="I153" s="70">
        <f t="shared" si="100"/>
        <v>0.15</v>
      </c>
      <c r="J153" s="70">
        <f t="shared" si="100"/>
        <v>0.15</v>
      </c>
      <c r="K153" s="70">
        <f t="shared" si="100"/>
        <v>0.15</v>
      </c>
      <c r="L153" s="70">
        <f t="shared" si="100"/>
        <v>0.15</v>
      </c>
      <c r="M153" s="70">
        <f t="shared" si="100"/>
        <v>0.15</v>
      </c>
      <c r="N153" s="70">
        <f t="shared" si="100"/>
        <v>0.15</v>
      </c>
      <c r="O153" s="70">
        <f t="shared" si="100"/>
        <v>0.15</v>
      </c>
      <c r="P153" s="70">
        <f t="shared" si="100"/>
        <v>0.15</v>
      </c>
      <c r="Q153" s="397"/>
      <c r="R153" s="427"/>
    </row>
    <row r="154" spans="2:18">
      <c r="B154" s="94" t="s">
        <v>533</v>
      </c>
      <c r="C154" s="340"/>
      <c r="D154" s="371"/>
      <c r="E154" s="346" t="s">
        <v>307</v>
      </c>
      <c r="F154" s="28" t="s">
        <v>219</v>
      </c>
      <c r="G154" s="367">
        <f t="shared" ref="G154:P154" si="101">G150*Conv_sqm_ha*G153</f>
        <v>0</v>
      </c>
      <c r="H154" s="367">
        <f t="shared" si="101"/>
        <v>0</v>
      </c>
      <c r="I154" s="367">
        <f t="shared" si="101"/>
        <v>0</v>
      </c>
      <c r="J154" s="367">
        <f t="shared" si="101"/>
        <v>0</v>
      </c>
      <c r="K154" s="367">
        <f t="shared" si="101"/>
        <v>0</v>
      </c>
      <c r="L154" s="367">
        <f t="shared" si="101"/>
        <v>0</v>
      </c>
      <c r="M154" s="367">
        <f t="shared" si="101"/>
        <v>0</v>
      </c>
      <c r="N154" s="367">
        <f t="shared" si="101"/>
        <v>0</v>
      </c>
      <c r="O154" s="367">
        <f t="shared" si="101"/>
        <v>0</v>
      </c>
      <c r="P154" s="367">
        <f t="shared" si="101"/>
        <v>0</v>
      </c>
      <c r="Q154" s="397"/>
      <c r="R154" s="427"/>
    </row>
    <row r="155" spans="2:18">
      <c r="B155" s="94" t="s">
        <v>533</v>
      </c>
      <c r="C155" s="340"/>
      <c r="D155" s="371"/>
      <c r="E155" s="346" t="s">
        <v>539</v>
      </c>
      <c r="F155" s="28" t="s">
        <v>219</v>
      </c>
      <c r="G155" s="463"/>
      <c r="H155" s="463"/>
      <c r="I155" s="463"/>
      <c r="J155" s="463"/>
      <c r="K155" s="463"/>
      <c r="L155" s="463"/>
      <c r="M155" s="463"/>
      <c r="N155" s="463"/>
      <c r="O155" s="463"/>
      <c r="P155" s="463"/>
      <c r="Q155" s="397"/>
      <c r="R155" s="427"/>
    </row>
    <row r="156" spans="2:18">
      <c r="B156" s="94" t="s">
        <v>533</v>
      </c>
      <c r="C156" s="340"/>
      <c r="D156" s="371"/>
      <c r="E156" s="346" t="s">
        <v>540</v>
      </c>
      <c r="F156" s="28" t="s">
        <v>219</v>
      </c>
      <c r="G156" s="367">
        <f>G154-G155</f>
        <v>0</v>
      </c>
      <c r="H156" s="367">
        <f t="shared" ref="H156:P156" si="102">H154-H155</f>
        <v>0</v>
      </c>
      <c r="I156" s="367">
        <f t="shared" si="102"/>
        <v>0</v>
      </c>
      <c r="J156" s="367">
        <f t="shared" si="102"/>
        <v>0</v>
      </c>
      <c r="K156" s="367">
        <f t="shared" si="102"/>
        <v>0</v>
      </c>
      <c r="L156" s="367">
        <f t="shared" si="102"/>
        <v>0</v>
      </c>
      <c r="M156" s="367">
        <f t="shared" si="102"/>
        <v>0</v>
      </c>
      <c r="N156" s="367">
        <f t="shared" si="102"/>
        <v>0</v>
      </c>
      <c r="O156" s="367">
        <f t="shared" si="102"/>
        <v>0</v>
      </c>
      <c r="P156" s="367">
        <f t="shared" si="102"/>
        <v>0</v>
      </c>
      <c r="Q156" s="397"/>
      <c r="R156" s="427"/>
    </row>
    <row r="157" spans="2:18">
      <c r="B157" s="94" t="s">
        <v>533</v>
      </c>
      <c r="C157" s="338" t="s">
        <v>541</v>
      </c>
      <c r="D157" s="376" t="s">
        <v>542</v>
      </c>
      <c r="E157" s="346" t="s">
        <v>543</v>
      </c>
      <c r="F157" s="28" t="s">
        <v>211</v>
      </c>
      <c r="G157" s="412" t="s">
        <v>544</v>
      </c>
      <c r="H157" s="412" t="s">
        <v>545</v>
      </c>
      <c r="I157" s="412" t="s">
        <v>545</v>
      </c>
      <c r="J157" s="412" t="s">
        <v>545</v>
      </c>
      <c r="K157" s="412" t="s">
        <v>545</v>
      </c>
      <c r="L157" s="412" t="s">
        <v>545</v>
      </c>
      <c r="M157" s="412" t="s">
        <v>545</v>
      </c>
      <c r="N157" s="412" t="s">
        <v>545</v>
      </c>
      <c r="O157" s="412" t="s">
        <v>545</v>
      </c>
      <c r="P157" s="412" t="s">
        <v>545</v>
      </c>
      <c r="Q157" s="397"/>
      <c r="R157" s="427"/>
    </row>
    <row r="158" spans="2:18">
      <c r="B158" s="94" t="s">
        <v>533</v>
      </c>
      <c r="C158" s="340"/>
      <c r="D158" s="371"/>
      <c r="E158" s="346" t="s">
        <v>546</v>
      </c>
      <c r="F158" s="28" t="s">
        <v>253</v>
      </c>
      <c r="G158" s="342">
        <f t="shared" ref="G158:P158" si="103">_xlfn.XLOOKUP(G157,Long_haul_soil_amend_names_volume_CS,Long_haul_soil_amend_rates_volume_CS)</f>
        <v>0.4231091685384164</v>
      </c>
      <c r="H158" s="342">
        <f t="shared" si="103"/>
        <v>0.22675068293571296</v>
      </c>
      <c r="I158" s="342">
        <f t="shared" si="103"/>
        <v>0.22675068293571296</v>
      </c>
      <c r="J158" s="342">
        <f t="shared" si="103"/>
        <v>0.22675068293571296</v>
      </c>
      <c r="K158" s="342">
        <f t="shared" si="103"/>
        <v>0.22675068293571296</v>
      </c>
      <c r="L158" s="342">
        <f t="shared" si="103"/>
        <v>0.22675068293571296</v>
      </c>
      <c r="M158" s="342">
        <f t="shared" si="103"/>
        <v>0.22675068293571296</v>
      </c>
      <c r="N158" s="342">
        <f t="shared" si="103"/>
        <v>0.22675068293571296</v>
      </c>
      <c r="O158" s="342">
        <f t="shared" si="103"/>
        <v>0.22675068293571296</v>
      </c>
      <c r="P158" s="342">
        <f t="shared" si="103"/>
        <v>0.22675068293571296</v>
      </c>
      <c r="Q158" s="397"/>
      <c r="R158" s="427"/>
    </row>
    <row r="159" spans="2:18">
      <c r="B159" s="94" t="s">
        <v>533</v>
      </c>
      <c r="C159" s="340"/>
      <c r="D159" s="371"/>
      <c r="E159" s="336" t="s">
        <v>547</v>
      </c>
      <c r="F159" s="28" t="s">
        <v>253</v>
      </c>
      <c r="G159" s="414"/>
      <c r="H159" s="414"/>
      <c r="I159" s="414"/>
      <c r="J159" s="414"/>
      <c r="K159" s="414"/>
      <c r="L159" s="414"/>
      <c r="M159" s="414"/>
      <c r="N159" s="414"/>
      <c r="O159" s="414"/>
      <c r="P159" s="414"/>
      <c r="Q159" s="397"/>
      <c r="R159" s="427"/>
    </row>
    <row r="160" spans="2:18">
      <c r="B160" s="94" t="s">
        <v>533</v>
      </c>
      <c r="C160" s="340"/>
      <c r="D160" s="371"/>
      <c r="E160" s="346" t="s">
        <v>548</v>
      </c>
      <c r="F160" s="28" t="s">
        <v>207</v>
      </c>
      <c r="G160" s="378">
        <f t="shared" ref="G160:P160" si="104">IF(G159="",G158,G159)*G156*_xlfn.XLOOKUP(G157,Long_haul_distance_names_L,Long_haul_distances_average_L)</f>
        <v>0</v>
      </c>
      <c r="H160" s="378">
        <f t="shared" si="104"/>
        <v>0</v>
      </c>
      <c r="I160" s="378">
        <f t="shared" si="104"/>
        <v>0</v>
      </c>
      <c r="J160" s="378">
        <f t="shared" si="104"/>
        <v>0</v>
      </c>
      <c r="K160" s="378">
        <f t="shared" si="104"/>
        <v>0</v>
      </c>
      <c r="L160" s="378">
        <f t="shared" si="104"/>
        <v>0</v>
      </c>
      <c r="M160" s="378">
        <f t="shared" si="104"/>
        <v>0</v>
      </c>
      <c r="N160" s="378">
        <f t="shared" si="104"/>
        <v>0</v>
      </c>
      <c r="O160" s="378">
        <f t="shared" si="104"/>
        <v>0</v>
      </c>
      <c r="P160" s="378">
        <f t="shared" si="104"/>
        <v>0</v>
      </c>
      <c r="Q160" s="397"/>
      <c r="R160" s="427"/>
    </row>
    <row r="161" spans="2:18">
      <c r="B161" s="94" t="s">
        <v>533</v>
      </c>
      <c r="C161" s="340"/>
      <c r="D161" s="371"/>
      <c r="E161" s="346" t="s">
        <v>311</v>
      </c>
      <c r="G161" s="412" t="s">
        <v>549</v>
      </c>
      <c r="H161" s="412" t="s">
        <v>550</v>
      </c>
      <c r="I161" s="412" t="s">
        <v>550</v>
      </c>
      <c r="J161" s="412" t="s">
        <v>549</v>
      </c>
      <c r="K161" s="412" t="s">
        <v>549</v>
      </c>
      <c r="L161" s="412" t="s">
        <v>549</v>
      </c>
      <c r="M161" s="412" t="s">
        <v>549</v>
      </c>
      <c r="N161" s="412" t="s">
        <v>549</v>
      </c>
      <c r="O161" s="412" t="s">
        <v>549</v>
      </c>
      <c r="P161" s="412" t="s">
        <v>549</v>
      </c>
      <c r="Q161" s="397"/>
      <c r="R161" s="427"/>
    </row>
    <row r="162" spans="2:18">
      <c r="B162" s="94" t="s">
        <v>533</v>
      </c>
      <c r="C162" s="340"/>
      <c r="D162" s="371"/>
      <c r="E162" s="346" t="s">
        <v>551</v>
      </c>
      <c r="F162" s="28" t="s">
        <v>241</v>
      </c>
      <c r="G162" s="342">
        <f t="shared" ref="G162:P162" si="105">IF(G161=Growth_media,Growth_media_purchase_rate*Growth_media_soil_density,VENM_backfill_buy_R)</f>
        <v>128.79999999999998</v>
      </c>
      <c r="H162" s="342">
        <f t="shared" si="105"/>
        <v>76.490890000000007</v>
      </c>
      <c r="I162" s="342">
        <f t="shared" si="105"/>
        <v>76.490890000000007</v>
      </c>
      <c r="J162" s="342">
        <f t="shared" si="105"/>
        <v>128.79999999999998</v>
      </c>
      <c r="K162" s="342">
        <f t="shared" si="105"/>
        <v>128.79999999999998</v>
      </c>
      <c r="L162" s="342">
        <f t="shared" si="105"/>
        <v>128.79999999999998</v>
      </c>
      <c r="M162" s="342">
        <f t="shared" si="105"/>
        <v>128.79999999999998</v>
      </c>
      <c r="N162" s="342">
        <f t="shared" si="105"/>
        <v>128.79999999999998</v>
      </c>
      <c r="O162" s="342">
        <f t="shared" si="105"/>
        <v>128.79999999999998</v>
      </c>
      <c r="P162" s="342">
        <f t="shared" si="105"/>
        <v>128.79999999999998</v>
      </c>
      <c r="Q162" s="397"/>
      <c r="R162" s="427"/>
    </row>
    <row r="163" spans="2:18">
      <c r="B163" s="94" t="s">
        <v>533</v>
      </c>
      <c r="C163" s="340"/>
      <c r="D163" s="371"/>
      <c r="E163" s="336" t="s">
        <v>552</v>
      </c>
      <c r="F163" s="28" t="s">
        <v>241</v>
      </c>
      <c r="G163" s="414"/>
      <c r="H163" s="414"/>
      <c r="I163" s="414"/>
      <c r="J163" s="414"/>
      <c r="K163" s="414"/>
      <c r="L163" s="414"/>
      <c r="M163" s="414"/>
      <c r="N163" s="414"/>
      <c r="O163" s="414"/>
      <c r="P163" s="414"/>
      <c r="Q163" s="397"/>
      <c r="R163" s="420"/>
    </row>
    <row r="164" spans="2:18">
      <c r="B164" s="94" t="s">
        <v>533</v>
      </c>
      <c r="C164" s="340"/>
      <c r="D164" s="371"/>
      <c r="E164" s="346" t="s">
        <v>548</v>
      </c>
      <c r="F164" s="28" t="s">
        <v>207</v>
      </c>
      <c r="G164" s="378">
        <f>IF(G163="",G162,G163)*G156</f>
        <v>0</v>
      </c>
      <c r="H164" s="378">
        <f t="shared" ref="H164:P164" si="106">IF(H163="",H162,H163)*H156</f>
        <v>0</v>
      </c>
      <c r="I164" s="378">
        <f t="shared" si="106"/>
        <v>0</v>
      </c>
      <c r="J164" s="378">
        <f t="shared" si="106"/>
        <v>0</v>
      </c>
      <c r="K164" s="378">
        <f t="shared" si="106"/>
        <v>0</v>
      </c>
      <c r="L164" s="378">
        <f t="shared" si="106"/>
        <v>0</v>
      </c>
      <c r="M164" s="378">
        <f t="shared" si="106"/>
        <v>0</v>
      </c>
      <c r="N164" s="378">
        <f t="shared" si="106"/>
        <v>0</v>
      </c>
      <c r="O164" s="378">
        <f t="shared" si="106"/>
        <v>0</v>
      </c>
      <c r="P164" s="378">
        <f t="shared" si="106"/>
        <v>0</v>
      </c>
      <c r="Q164" s="397"/>
      <c r="R164" s="427"/>
    </row>
    <row r="165" spans="2:18" ht="33.75">
      <c r="B165" s="94" t="s">
        <v>533</v>
      </c>
      <c r="C165" s="338" t="s">
        <v>541</v>
      </c>
      <c r="D165" s="376" t="s">
        <v>553</v>
      </c>
      <c r="E165" s="442" t="s">
        <v>554</v>
      </c>
      <c r="F165" s="28" t="s">
        <v>211</v>
      </c>
      <c r="G165" s="461" t="s">
        <v>555</v>
      </c>
      <c r="H165" s="461" t="s">
        <v>555</v>
      </c>
      <c r="I165" s="461" t="s">
        <v>555</v>
      </c>
      <c r="J165" s="461" t="s">
        <v>555</v>
      </c>
      <c r="K165" s="461" t="s">
        <v>555</v>
      </c>
      <c r="L165" s="461" t="s">
        <v>555</v>
      </c>
      <c r="M165" s="461" t="s">
        <v>555</v>
      </c>
      <c r="N165" s="461" t="s">
        <v>555</v>
      </c>
      <c r="O165" s="461" t="s">
        <v>555</v>
      </c>
      <c r="P165" s="461" t="s">
        <v>555</v>
      </c>
      <c r="Q165" s="397"/>
      <c r="R165" s="420"/>
    </row>
    <row r="166" spans="2:18">
      <c r="B166" s="94" t="s">
        <v>533</v>
      </c>
      <c r="C166" s="340"/>
      <c r="D166" s="371"/>
      <c r="E166" s="346" t="s">
        <v>227</v>
      </c>
      <c r="F166" s="28" t="s">
        <v>241</v>
      </c>
      <c r="G166" s="342">
        <f t="shared" ref="G166:P166" si="107">_xlfn.XLOOKUP(G165,Load_haul_soil_names_CS,Load_haul_soil_rates_CS)</f>
        <v>5.5737090155748836</v>
      </c>
      <c r="H166" s="342">
        <f t="shared" si="107"/>
        <v>5.5737090155748836</v>
      </c>
      <c r="I166" s="342">
        <f t="shared" si="107"/>
        <v>5.5737090155748836</v>
      </c>
      <c r="J166" s="342">
        <f t="shared" si="107"/>
        <v>5.5737090155748836</v>
      </c>
      <c r="K166" s="342">
        <f t="shared" si="107"/>
        <v>5.5737090155748836</v>
      </c>
      <c r="L166" s="342">
        <f t="shared" si="107"/>
        <v>5.5737090155748836</v>
      </c>
      <c r="M166" s="342">
        <f t="shared" si="107"/>
        <v>5.5737090155748836</v>
      </c>
      <c r="N166" s="342">
        <f t="shared" si="107"/>
        <v>5.5737090155748836</v>
      </c>
      <c r="O166" s="342">
        <f t="shared" si="107"/>
        <v>5.5737090155748836</v>
      </c>
      <c r="P166" s="342">
        <f t="shared" si="107"/>
        <v>5.5737090155748836</v>
      </c>
      <c r="Q166" s="397"/>
      <c r="R166" s="427"/>
    </row>
    <row r="167" spans="2:18">
      <c r="B167" s="94" t="s">
        <v>533</v>
      </c>
      <c r="C167" s="340"/>
      <c r="D167" s="371"/>
      <c r="E167" s="384" t="s">
        <v>229</v>
      </c>
      <c r="F167" s="28" t="s">
        <v>241</v>
      </c>
      <c r="G167" s="414"/>
      <c r="H167" s="414"/>
      <c r="I167" s="414"/>
      <c r="J167" s="414"/>
      <c r="K167" s="414"/>
      <c r="L167" s="414"/>
      <c r="M167" s="414"/>
      <c r="N167" s="414"/>
      <c r="O167" s="414"/>
      <c r="P167" s="414"/>
      <c r="Q167" s="397"/>
      <c r="R167" s="420"/>
    </row>
    <row r="168" spans="2:18">
      <c r="B168" s="94" t="s">
        <v>533</v>
      </c>
      <c r="C168" s="340"/>
      <c r="D168" s="371"/>
      <c r="E168" s="346" t="s">
        <v>146</v>
      </c>
      <c r="F168" s="28" t="s">
        <v>207</v>
      </c>
      <c r="G168" s="443">
        <f t="shared" ref="G168:P168" si="108">IF(G167="",G166,G167)*G154</f>
        <v>0</v>
      </c>
      <c r="H168" s="443">
        <f t="shared" si="108"/>
        <v>0</v>
      </c>
      <c r="I168" s="443">
        <f t="shared" si="108"/>
        <v>0</v>
      </c>
      <c r="J168" s="443">
        <f t="shared" si="108"/>
        <v>0</v>
      </c>
      <c r="K168" s="443">
        <f t="shared" si="108"/>
        <v>0</v>
      </c>
      <c r="L168" s="443">
        <f t="shared" si="108"/>
        <v>0</v>
      </c>
      <c r="M168" s="443">
        <f t="shared" si="108"/>
        <v>0</v>
      </c>
      <c r="N168" s="443">
        <f t="shared" si="108"/>
        <v>0</v>
      </c>
      <c r="O168" s="443">
        <f t="shared" si="108"/>
        <v>0</v>
      </c>
      <c r="P168" s="443">
        <f t="shared" si="108"/>
        <v>0</v>
      </c>
      <c r="Q168" s="397"/>
      <c r="R168" s="420"/>
    </row>
    <row r="169" spans="2:18">
      <c r="B169" s="94" t="s">
        <v>533</v>
      </c>
      <c r="C169" s="372"/>
      <c r="D169" s="373"/>
      <c r="E169" s="374" t="str">
        <f>C150</f>
        <v>Source and apply growth media</v>
      </c>
      <c r="F169" s="72"/>
      <c r="G169" s="392">
        <f>G160+G164+G168</f>
        <v>0</v>
      </c>
      <c r="H169" s="392">
        <f t="shared" ref="H169:P169" si="109">H160+H164+H168</f>
        <v>0</v>
      </c>
      <c r="I169" s="392">
        <f t="shared" si="109"/>
        <v>0</v>
      </c>
      <c r="J169" s="392">
        <f t="shared" si="109"/>
        <v>0</v>
      </c>
      <c r="K169" s="392">
        <f t="shared" si="109"/>
        <v>0</v>
      </c>
      <c r="L169" s="392">
        <f t="shared" si="109"/>
        <v>0</v>
      </c>
      <c r="M169" s="392">
        <f t="shared" si="109"/>
        <v>0</v>
      </c>
      <c r="N169" s="392">
        <f t="shared" si="109"/>
        <v>0</v>
      </c>
      <c r="O169" s="392">
        <f t="shared" si="109"/>
        <v>0</v>
      </c>
      <c r="P169" s="392">
        <f t="shared" si="109"/>
        <v>0</v>
      </c>
      <c r="Q169" s="397"/>
      <c r="R169" s="420"/>
    </row>
    <row r="170" spans="2:18">
      <c r="B170" s="94" t="s">
        <v>533</v>
      </c>
      <c r="C170" s="375" t="s">
        <v>310</v>
      </c>
      <c r="D170" s="376" t="str">
        <f t="shared" ref="D170" si="110">Ameliorants</f>
        <v>Ameliorants</v>
      </c>
      <c r="E170" s="346" t="s">
        <v>214</v>
      </c>
      <c r="F170" s="28" t="s">
        <v>299</v>
      </c>
      <c r="G170" s="455"/>
      <c r="H170" s="455"/>
      <c r="I170" s="455"/>
      <c r="J170" s="455"/>
      <c r="K170" s="455"/>
      <c r="L170" s="455"/>
      <c r="M170" s="455"/>
      <c r="N170" s="455"/>
      <c r="O170" s="455"/>
      <c r="P170" s="455"/>
      <c r="Q170" s="397"/>
      <c r="R170" s="427"/>
    </row>
    <row r="171" spans="2:18">
      <c r="B171" s="94" t="s">
        <v>533</v>
      </c>
      <c r="C171" s="340"/>
      <c r="D171" s="371"/>
      <c r="E171" s="346" t="s">
        <v>311</v>
      </c>
      <c r="F171" s="28" t="s">
        <v>123</v>
      </c>
      <c r="G171" s="461" t="s">
        <v>312</v>
      </c>
      <c r="H171" s="461" t="s">
        <v>312</v>
      </c>
      <c r="I171" s="461" t="s">
        <v>312</v>
      </c>
      <c r="J171" s="461" t="s">
        <v>312</v>
      </c>
      <c r="K171" s="461" t="s">
        <v>312</v>
      </c>
      <c r="L171" s="461" t="s">
        <v>312</v>
      </c>
      <c r="M171" s="461" t="s">
        <v>312</v>
      </c>
      <c r="N171" s="461" t="s">
        <v>312</v>
      </c>
      <c r="O171" s="461" t="s">
        <v>312</v>
      </c>
      <c r="P171" s="461" t="s">
        <v>312</v>
      </c>
      <c r="Q171" s="397"/>
      <c r="R171" s="420"/>
    </row>
    <row r="172" spans="2:18">
      <c r="B172" s="94" t="s">
        <v>533</v>
      </c>
      <c r="C172" s="340"/>
      <c r="D172" s="371"/>
      <c r="E172" s="346" t="s">
        <v>320</v>
      </c>
      <c r="F172" s="28" t="s">
        <v>321</v>
      </c>
      <c r="G172" s="385">
        <f>_xlfn.XLOOKUP(G171,'Assumptions - General'!$B$5:$B$14,'Assumptions - General'!$C$5:$C$14)</f>
        <v>2.5</v>
      </c>
      <c r="H172" s="385">
        <f>_xlfn.XLOOKUP(H171,'Assumptions - General'!$B$5:$B$14,'Assumptions - General'!$C$5:$C$14)</f>
        <v>2.5</v>
      </c>
      <c r="I172" s="385">
        <f>_xlfn.XLOOKUP(I171,'Assumptions - General'!$B$5:$B$14,'Assumptions - General'!$C$5:$C$14)</f>
        <v>2.5</v>
      </c>
      <c r="J172" s="385">
        <f>_xlfn.XLOOKUP(J171,'Assumptions - General'!$B$5:$B$14,'Assumptions - General'!$C$5:$C$14)</f>
        <v>2.5</v>
      </c>
      <c r="K172" s="385">
        <f>_xlfn.XLOOKUP(K171,'Assumptions - General'!$B$5:$B$14,'Assumptions - General'!$C$5:$C$14)</f>
        <v>2.5</v>
      </c>
      <c r="L172" s="385">
        <f>_xlfn.XLOOKUP(L171,'Assumptions - General'!$B$5:$B$14,'Assumptions - General'!$C$5:$C$14)</f>
        <v>2.5</v>
      </c>
      <c r="M172" s="385">
        <f>_xlfn.XLOOKUP(M171,'Assumptions - General'!$B$5:$B$14,'Assumptions - General'!$C$5:$C$14)</f>
        <v>2.5</v>
      </c>
      <c r="N172" s="385">
        <f>_xlfn.XLOOKUP(N171,'Assumptions - General'!$B$5:$B$14,'Assumptions - General'!$C$5:$C$14)</f>
        <v>2.5</v>
      </c>
      <c r="O172" s="385">
        <f>_xlfn.XLOOKUP(O171,'Assumptions - General'!$B$5:$B$14,'Assumptions - General'!$C$5:$C$14)</f>
        <v>2.5</v>
      </c>
      <c r="P172" s="385">
        <f>_xlfn.XLOOKUP(P171,'Assumptions - General'!$B$5:$B$14,'Assumptions - General'!$C$5:$C$14)</f>
        <v>2.5</v>
      </c>
      <c r="Q172" s="397"/>
      <c r="R172" s="427"/>
    </row>
    <row r="173" spans="2:18">
      <c r="B173" s="94" t="s">
        <v>533</v>
      </c>
      <c r="C173" s="343"/>
      <c r="D173" s="371"/>
      <c r="E173" s="346" t="s">
        <v>322</v>
      </c>
      <c r="F173" s="28" t="s">
        <v>221</v>
      </c>
      <c r="G173" s="385">
        <f>G170*G172</f>
        <v>0</v>
      </c>
      <c r="H173" s="385">
        <f t="shared" ref="H173:P173" si="111">H170*H172</f>
        <v>0</v>
      </c>
      <c r="I173" s="385">
        <f t="shared" si="111"/>
        <v>0</v>
      </c>
      <c r="J173" s="385">
        <f t="shared" si="111"/>
        <v>0</v>
      </c>
      <c r="K173" s="385">
        <f t="shared" si="111"/>
        <v>0</v>
      </c>
      <c r="L173" s="385">
        <f t="shared" si="111"/>
        <v>0</v>
      </c>
      <c r="M173" s="385">
        <f t="shared" si="111"/>
        <v>0</v>
      </c>
      <c r="N173" s="385">
        <f t="shared" si="111"/>
        <v>0</v>
      </c>
      <c r="O173" s="385">
        <f t="shared" si="111"/>
        <v>0</v>
      </c>
      <c r="P173" s="385">
        <f t="shared" si="111"/>
        <v>0</v>
      </c>
      <c r="Q173" s="397"/>
      <c r="R173" s="427"/>
    </row>
    <row r="174" spans="2:18">
      <c r="B174" s="94" t="s">
        <v>533</v>
      </c>
      <c r="C174" s="338" t="s">
        <v>556</v>
      </c>
      <c r="D174" s="376"/>
      <c r="E174" s="346" t="s">
        <v>227</v>
      </c>
      <c r="F174" s="28" t="s">
        <v>228</v>
      </c>
      <c r="G174" s="342">
        <f t="shared" ref="G174:P174" si="112">_xlfn.XLOOKUP(G171,Rates_soil_seed_adds_names_R,Rates_soil_seed_adds_rates_R)</f>
        <v>47</v>
      </c>
      <c r="H174" s="342">
        <f t="shared" si="112"/>
        <v>47</v>
      </c>
      <c r="I174" s="342">
        <f t="shared" si="112"/>
        <v>47</v>
      </c>
      <c r="J174" s="342">
        <f t="shared" si="112"/>
        <v>47</v>
      </c>
      <c r="K174" s="342">
        <f t="shared" si="112"/>
        <v>47</v>
      </c>
      <c r="L174" s="342">
        <f t="shared" si="112"/>
        <v>47</v>
      </c>
      <c r="M174" s="342">
        <f t="shared" si="112"/>
        <v>47</v>
      </c>
      <c r="N174" s="342">
        <f t="shared" si="112"/>
        <v>47</v>
      </c>
      <c r="O174" s="342">
        <f t="shared" si="112"/>
        <v>47</v>
      </c>
      <c r="P174" s="342">
        <f t="shared" si="112"/>
        <v>47</v>
      </c>
      <c r="Q174" s="397"/>
      <c r="R174" s="427"/>
    </row>
    <row r="175" spans="2:18">
      <c r="B175" s="94" t="s">
        <v>533</v>
      </c>
      <c r="C175" s="340"/>
      <c r="D175" s="371"/>
      <c r="E175" s="384" t="s">
        <v>229</v>
      </c>
      <c r="F175" s="28" t="s">
        <v>228</v>
      </c>
      <c r="G175" s="414"/>
      <c r="H175" s="414"/>
      <c r="I175" s="414"/>
      <c r="J175" s="414"/>
      <c r="K175" s="414"/>
      <c r="L175" s="414"/>
      <c r="M175" s="414"/>
      <c r="N175" s="414"/>
      <c r="O175" s="414"/>
      <c r="P175" s="414"/>
      <c r="Q175" s="397"/>
      <c r="R175" s="420"/>
    </row>
    <row r="176" spans="2:18">
      <c r="B176" s="94" t="s">
        <v>533</v>
      </c>
      <c r="C176" s="343"/>
      <c r="D176" s="371"/>
      <c r="E176" s="346" t="s">
        <v>325</v>
      </c>
      <c r="F176" s="28" t="s">
        <v>207</v>
      </c>
      <c r="G176" s="380">
        <f t="shared" ref="G176:P176" si="113">IF(G175="",G174,G175)*G173</f>
        <v>0</v>
      </c>
      <c r="H176" s="380">
        <f t="shared" si="113"/>
        <v>0</v>
      </c>
      <c r="I176" s="380">
        <f t="shared" si="113"/>
        <v>0</v>
      </c>
      <c r="J176" s="380">
        <f t="shared" si="113"/>
        <v>0</v>
      </c>
      <c r="K176" s="380">
        <f t="shared" si="113"/>
        <v>0</v>
      </c>
      <c r="L176" s="380">
        <f t="shared" si="113"/>
        <v>0</v>
      </c>
      <c r="M176" s="380">
        <f t="shared" si="113"/>
        <v>0</v>
      </c>
      <c r="N176" s="380">
        <f t="shared" si="113"/>
        <v>0</v>
      </c>
      <c r="O176" s="380">
        <f t="shared" si="113"/>
        <v>0</v>
      </c>
      <c r="P176" s="380">
        <f t="shared" si="113"/>
        <v>0</v>
      </c>
      <c r="Q176" s="397"/>
      <c r="R176" s="420"/>
    </row>
    <row r="177" spans="2:18">
      <c r="B177" s="94" t="s">
        <v>533</v>
      </c>
      <c r="C177" s="338" t="s">
        <v>557</v>
      </c>
      <c r="D177" s="376"/>
      <c r="E177" s="442" t="s">
        <v>558</v>
      </c>
      <c r="F177" s="28" t="s">
        <v>123</v>
      </c>
      <c r="G177" s="464" t="s">
        <v>559</v>
      </c>
      <c r="H177" s="464" t="s">
        <v>233</v>
      </c>
      <c r="I177" s="464" t="s">
        <v>233</v>
      </c>
      <c r="J177" s="464" t="s">
        <v>233</v>
      </c>
      <c r="K177" s="464" t="s">
        <v>233</v>
      </c>
      <c r="L177" s="464" t="s">
        <v>233</v>
      </c>
      <c r="M177" s="464" t="s">
        <v>233</v>
      </c>
      <c r="N177" s="464" t="s">
        <v>233</v>
      </c>
      <c r="O177" s="464" t="s">
        <v>233</v>
      </c>
      <c r="P177" s="464" t="s">
        <v>233</v>
      </c>
      <c r="Q177" s="397"/>
      <c r="R177" s="420"/>
    </row>
    <row r="178" spans="2:18">
      <c r="B178" s="94" t="s">
        <v>533</v>
      </c>
      <c r="C178" s="340"/>
      <c r="D178" s="371"/>
      <c r="E178" s="346" t="s">
        <v>227</v>
      </c>
      <c r="F178" s="28" t="s">
        <v>234</v>
      </c>
      <c r="G178" s="342">
        <f t="shared" ref="G178:P178" si="114">_xlfn.XLOOKUP(G177,Long_haul_soil_amend_names_mass_CS,Long_haul_soil_amend_rates_mass_CS)</f>
        <v>0.12950028421163004</v>
      </c>
      <c r="H178" s="342">
        <f t="shared" si="114"/>
        <v>0.11650973647112783</v>
      </c>
      <c r="I178" s="342">
        <f t="shared" si="114"/>
        <v>0.11650973647112783</v>
      </c>
      <c r="J178" s="342">
        <f t="shared" si="114"/>
        <v>0.11650973647112783</v>
      </c>
      <c r="K178" s="342">
        <f t="shared" si="114"/>
        <v>0.11650973647112783</v>
      </c>
      <c r="L178" s="342">
        <f t="shared" si="114"/>
        <v>0.11650973647112783</v>
      </c>
      <c r="M178" s="342">
        <f t="shared" si="114"/>
        <v>0.11650973647112783</v>
      </c>
      <c r="N178" s="342">
        <f t="shared" si="114"/>
        <v>0.11650973647112783</v>
      </c>
      <c r="O178" s="342">
        <f t="shared" si="114"/>
        <v>0.11650973647112783</v>
      </c>
      <c r="P178" s="342">
        <f t="shared" si="114"/>
        <v>0.11650973647112783</v>
      </c>
      <c r="Q178" s="397"/>
      <c r="R178" s="427"/>
    </row>
    <row r="179" spans="2:18">
      <c r="B179" s="94" t="s">
        <v>533</v>
      </c>
      <c r="C179" s="340"/>
      <c r="D179" s="371"/>
      <c r="E179" s="384" t="s">
        <v>229</v>
      </c>
      <c r="F179" s="28" t="s">
        <v>234</v>
      </c>
      <c r="G179" s="414"/>
      <c r="H179" s="414"/>
      <c r="I179" s="414"/>
      <c r="J179" s="414"/>
      <c r="K179" s="414"/>
      <c r="L179" s="414"/>
      <c r="M179" s="414"/>
      <c r="N179" s="414"/>
      <c r="O179" s="414"/>
      <c r="P179" s="414"/>
      <c r="Q179" s="407"/>
      <c r="R179" s="420"/>
    </row>
    <row r="180" spans="2:18">
      <c r="B180" s="94" t="s">
        <v>533</v>
      </c>
      <c r="C180" s="343"/>
      <c r="D180" s="377"/>
      <c r="E180" s="346" t="s">
        <v>146</v>
      </c>
      <c r="F180" s="28" t="s">
        <v>207</v>
      </c>
      <c r="G180" s="444">
        <f t="shared" ref="G180:P180" si="115">G173*_xlfn.XLOOKUP(G177,Long_haul_distance_names_L,Long_haul_distances_average_L)*IF(G179="",G178,G179)</f>
        <v>0</v>
      </c>
      <c r="H180" s="444">
        <f t="shared" si="115"/>
        <v>0</v>
      </c>
      <c r="I180" s="444">
        <f t="shared" si="115"/>
        <v>0</v>
      </c>
      <c r="J180" s="444">
        <f t="shared" si="115"/>
        <v>0</v>
      </c>
      <c r="K180" s="444">
        <f t="shared" si="115"/>
        <v>0</v>
      </c>
      <c r="L180" s="444">
        <f t="shared" si="115"/>
        <v>0</v>
      </c>
      <c r="M180" s="444">
        <f t="shared" si="115"/>
        <v>0</v>
      </c>
      <c r="N180" s="444">
        <f t="shared" si="115"/>
        <v>0</v>
      </c>
      <c r="O180" s="444">
        <f t="shared" si="115"/>
        <v>0</v>
      </c>
      <c r="P180" s="444">
        <f t="shared" si="115"/>
        <v>0</v>
      </c>
      <c r="Q180" s="397"/>
      <c r="R180" s="420"/>
    </row>
    <row r="181" spans="2:18">
      <c r="B181" s="94" t="s">
        <v>533</v>
      </c>
      <c r="C181" s="338" t="s">
        <v>328</v>
      </c>
      <c r="D181" s="376"/>
      <c r="E181" s="384" t="s">
        <v>229</v>
      </c>
      <c r="F181" s="28" t="s">
        <v>329</v>
      </c>
      <c r="G181" s="414"/>
      <c r="H181" s="414"/>
      <c r="I181" s="414"/>
      <c r="J181" s="414"/>
      <c r="K181" s="414"/>
      <c r="L181" s="414"/>
      <c r="M181" s="414"/>
      <c r="N181" s="414"/>
      <c r="O181" s="414"/>
      <c r="P181" s="414"/>
      <c r="Q181" s="397"/>
      <c r="R181" s="420"/>
    </row>
    <row r="182" spans="2:18">
      <c r="B182" s="94" t="s">
        <v>533</v>
      </c>
      <c r="C182" s="340"/>
      <c r="D182" s="371"/>
      <c r="E182" s="346" t="s">
        <v>227</v>
      </c>
      <c r="F182" s="28" t="s">
        <v>329</v>
      </c>
      <c r="G182" s="342">
        <f>'Cost Schedule'!$D$9</f>
        <v>2323.4444444444448</v>
      </c>
      <c r="H182" s="342">
        <f>'Cost Schedule'!$D$9</f>
        <v>2323.4444444444448</v>
      </c>
      <c r="I182" s="342">
        <f>'Cost Schedule'!$D$9</f>
        <v>2323.4444444444448</v>
      </c>
      <c r="J182" s="342">
        <f>'Cost Schedule'!$D$9</f>
        <v>2323.4444444444448</v>
      </c>
      <c r="K182" s="342">
        <f>'Cost Schedule'!$D$9</f>
        <v>2323.4444444444448</v>
      </c>
      <c r="L182" s="342">
        <f>'Cost Schedule'!$D$9</f>
        <v>2323.4444444444448</v>
      </c>
      <c r="M182" s="342">
        <f>'Cost Schedule'!$D$9</f>
        <v>2323.4444444444448</v>
      </c>
      <c r="N182" s="342">
        <f>'Cost Schedule'!$D$9</f>
        <v>2323.4444444444448</v>
      </c>
      <c r="O182" s="342">
        <f>'Cost Schedule'!$D$9</f>
        <v>2323.4444444444448</v>
      </c>
      <c r="P182" s="342">
        <f>'Cost Schedule'!$D$9</f>
        <v>2323.4444444444448</v>
      </c>
      <c r="Q182" s="397"/>
      <c r="R182" s="427"/>
    </row>
    <row r="183" spans="2:18">
      <c r="B183" s="94" t="s">
        <v>533</v>
      </c>
      <c r="C183" s="343"/>
      <c r="D183" s="377"/>
      <c r="E183" s="346" t="s">
        <v>146</v>
      </c>
      <c r="F183" s="28" t="s">
        <v>207</v>
      </c>
      <c r="G183" s="445">
        <f>G170*IF(G181="",G182,G181)</f>
        <v>0</v>
      </c>
      <c r="H183" s="445">
        <f t="shared" ref="H183:P183" si="116">H170*IF(H181="",H182,H181)</f>
        <v>0</v>
      </c>
      <c r="I183" s="445">
        <f t="shared" si="116"/>
        <v>0</v>
      </c>
      <c r="J183" s="445">
        <f t="shared" si="116"/>
        <v>0</v>
      </c>
      <c r="K183" s="445">
        <f t="shared" si="116"/>
        <v>0</v>
      </c>
      <c r="L183" s="445">
        <f t="shared" si="116"/>
        <v>0</v>
      </c>
      <c r="M183" s="445">
        <f t="shared" si="116"/>
        <v>0</v>
      </c>
      <c r="N183" s="445">
        <f t="shared" si="116"/>
        <v>0</v>
      </c>
      <c r="O183" s="445">
        <f t="shared" si="116"/>
        <v>0</v>
      </c>
      <c r="P183" s="445">
        <f t="shared" si="116"/>
        <v>0</v>
      </c>
      <c r="Q183" s="397"/>
      <c r="R183" s="420"/>
    </row>
    <row r="184" spans="2:18">
      <c r="B184" s="94" t="s">
        <v>533</v>
      </c>
      <c r="C184" s="372"/>
      <c r="D184" s="373"/>
      <c r="E184" s="374" t="str">
        <f>C170</f>
        <v>Source and apply ameliorants</v>
      </c>
      <c r="F184" s="72"/>
      <c r="G184" s="392">
        <f t="shared" ref="G184:P184" si="117">G176+G180+G183</f>
        <v>0</v>
      </c>
      <c r="H184" s="392">
        <f t="shared" si="117"/>
        <v>0</v>
      </c>
      <c r="I184" s="392">
        <f t="shared" si="117"/>
        <v>0</v>
      </c>
      <c r="J184" s="392">
        <f t="shared" si="117"/>
        <v>0</v>
      </c>
      <c r="K184" s="392">
        <f t="shared" si="117"/>
        <v>0</v>
      </c>
      <c r="L184" s="392">
        <f t="shared" si="117"/>
        <v>0</v>
      </c>
      <c r="M184" s="392">
        <f t="shared" si="117"/>
        <v>0</v>
      </c>
      <c r="N184" s="392">
        <f t="shared" si="117"/>
        <v>0</v>
      </c>
      <c r="O184" s="392">
        <f t="shared" si="117"/>
        <v>0</v>
      </c>
      <c r="P184" s="392">
        <f t="shared" si="117"/>
        <v>0</v>
      </c>
      <c r="Q184" s="397"/>
      <c r="R184" s="420"/>
    </row>
    <row r="185" spans="2:18">
      <c r="C185" s="375" t="s">
        <v>560</v>
      </c>
      <c r="D185" s="376" t="s">
        <v>331</v>
      </c>
      <c r="E185" s="346" t="s">
        <v>303</v>
      </c>
      <c r="F185" s="28" t="s">
        <v>299</v>
      </c>
      <c r="G185" s="465">
        <f>G145</f>
        <v>28.942999999999998</v>
      </c>
      <c r="H185" s="465"/>
      <c r="I185" s="465"/>
      <c r="J185" s="465"/>
      <c r="K185" s="465"/>
      <c r="L185" s="465"/>
      <c r="M185" s="465"/>
      <c r="N185" s="465"/>
      <c r="O185" s="465"/>
      <c r="P185" s="465"/>
      <c r="Q185" s="397"/>
      <c r="R185" s="337"/>
    </row>
    <row r="186" spans="2:18" ht="45">
      <c r="C186" s="382" t="s">
        <v>332</v>
      </c>
      <c r="D186" s="376" t="s">
        <v>331</v>
      </c>
      <c r="E186" s="346" t="s">
        <v>333</v>
      </c>
      <c r="F186" s="28" t="s">
        <v>123</v>
      </c>
      <c r="G186" s="412" t="s">
        <v>561</v>
      </c>
      <c r="H186" s="412" t="s">
        <v>335</v>
      </c>
      <c r="I186" s="412" t="s">
        <v>336</v>
      </c>
      <c r="J186" s="412" t="s">
        <v>337</v>
      </c>
      <c r="K186" s="412" t="s">
        <v>338</v>
      </c>
      <c r="L186" s="412" t="s">
        <v>339</v>
      </c>
      <c r="M186" s="412" t="s">
        <v>562</v>
      </c>
      <c r="N186" s="412" t="s">
        <v>561</v>
      </c>
      <c r="O186" s="412" t="s">
        <v>340</v>
      </c>
      <c r="P186" s="412" t="s">
        <v>341</v>
      </c>
      <c r="Q186" s="397"/>
      <c r="R186" s="337" t="s">
        <v>342</v>
      </c>
    </row>
    <row r="187" spans="2:18">
      <c r="C187" s="383"/>
      <c r="D187" s="371"/>
      <c r="E187" s="346" t="s">
        <v>227</v>
      </c>
      <c r="F187" s="28" t="s">
        <v>329</v>
      </c>
      <c r="G187" s="342">
        <f t="shared" ref="G187:P187" si="118">_xlfn.XLOOKUP(G186,Plant_and_seed_names_CS,Plant_and_seed_rates_CS)</f>
        <v>16411.125</v>
      </c>
      <c r="H187" s="342">
        <f t="shared" si="118"/>
        <v>2760.4646429999998</v>
      </c>
      <c r="I187" s="342">
        <f t="shared" si="118"/>
        <v>4558.1905333333334</v>
      </c>
      <c r="J187" s="342">
        <f t="shared" si="118"/>
        <v>4172.8119999999999</v>
      </c>
      <c r="K187" s="342">
        <f t="shared" si="118"/>
        <v>1295.5612666666668</v>
      </c>
      <c r="L187" s="342">
        <f t="shared" si="118"/>
        <v>2086.3507666666669</v>
      </c>
      <c r="M187" s="342">
        <f t="shared" si="118"/>
        <v>5864.4153632500002</v>
      </c>
      <c r="N187" s="342">
        <f t="shared" si="118"/>
        <v>16411.125</v>
      </c>
      <c r="O187" s="342">
        <f t="shared" si="118"/>
        <v>47734.652863250005</v>
      </c>
      <c r="P187" s="342">
        <f t="shared" si="118"/>
        <v>59084.652863250005</v>
      </c>
      <c r="Q187" s="397"/>
      <c r="R187" s="337"/>
    </row>
    <row r="188" spans="2:18">
      <c r="C188" s="383"/>
      <c r="D188" s="371"/>
      <c r="E188" s="384" t="s">
        <v>229</v>
      </c>
      <c r="F188" s="28" t="s">
        <v>329</v>
      </c>
      <c r="G188" s="414"/>
      <c r="H188" s="414"/>
      <c r="I188" s="414"/>
      <c r="J188" s="414"/>
      <c r="K188" s="414"/>
      <c r="L188" s="414"/>
      <c r="M188" s="414"/>
      <c r="N188" s="414"/>
      <c r="O188" s="414"/>
      <c r="P188" s="414"/>
      <c r="Q188" s="397"/>
      <c r="R188" s="337"/>
    </row>
    <row r="189" spans="2:18">
      <c r="C189" s="383"/>
      <c r="D189" s="371"/>
      <c r="E189" s="384" t="s">
        <v>146</v>
      </c>
      <c r="F189" s="28" t="s">
        <v>207</v>
      </c>
      <c r="G189" s="380">
        <f>G185*IF(G188="",G187,G188)</f>
        <v>474987.19087499997</v>
      </c>
      <c r="H189" s="380">
        <f t="shared" ref="H189:N189" si="119">H185*IF(H188="",H187,H188)</f>
        <v>0</v>
      </c>
      <c r="I189" s="380">
        <f t="shared" si="119"/>
        <v>0</v>
      </c>
      <c r="J189" s="380">
        <f t="shared" si="119"/>
        <v>0</v>
      </c>
      <c r="K189" s="380">
        <f t="shared" si="119"/>
        <v>0</v>
      </c>
      <c r="L189" s="380">
        <f t="shared" si="119"/>
        <v>0</v>
      </c>
      <c r="M189" s="380">
        <f t="shared" si="119"/>
        <v>0</v>
      </c>
      <c r="N189" s="380">
        <f t="shared" si="119"/>
        <v>0</v>
      </c>
      <c r="O189" s="380">
        <f t="shared" ref="O189" si="120">O185*IF(O188="",O187,O188)</f>
        <v>0</v>
      </c>
      <c r="P189" s="380">
        <f t="shared" ref="P189" si="121">P185*IF(P188="",P187,P188)</f>
        <v>0</v>
      </c>
      <c r="Q189" s="397"/>
      <c r="R189" s="337"/>
    </row>
    <row r="190" spans="2:18" ht="12" thickBot="1">
      <c r="C190" s="372"/>
      <c r="D190" s="373"/>
      <c r="E190" s="374" t="str">
        <f>C185</f>
        <v>Revegetate</v>
      </c>
      <c r="F190" s="72"/>
      <c r="G190" s="365">
        <f>G189</f>
        <v>474987.19087499997</v>
      </c>
      <c r="H190" s="365">
        <f t="shared" ref="H190:N190" si="122">H189</f>
        <v>0</v>
      </c>
      <c r="I190" s="365">
        <f t="shared" si="122"/>
        <v>0</v>
      </c>
      <c r="J190" s="365">
        <f t="shared" si="122"/>
        <v>0</v>
      </c>
      <c r="K190" s="365">
        <f t="shared" si="122"/>
        <v>0</v>
      </c>
      <c r="L190" s="365">
        <f t="shared" si="122"/>
        <v>0</v>
      </c>
      <c r="M190" s="365">
        <f t="shared" si="122"/>
        <v>0</v>
      </c>
      <c r="N190" s="365">
        <f t="shared" si="122"/>
        <v>0</v>
      </c>
      <c r="O190" s="365">
        <f t="shared" ref="O190" si="123">O189</f>
        <v>0</v>
      </c>
      <c r="P190" s="365">
        <f t="shared" ref="P190" si="124">P189</f>
        <v>0</v>
      </c>
      <c r="Q190" s="397"/>
      <c r="R190" s="337"/>
    </row>
    <row r="191" spans="2:18" ht="23.25" thickTop="1">
      <c r="C191" s="428" t="s">
        <v>563</v>
      </c>
      <c r="D191" s="429"/>
      <c r="E191" s="346" t="s">
        <v>311</v>
      </c>
      <c r="F191" s="28" t="s">
        <v>123</v>
      </c>
      <c r="G191" s="412" t="s">
        <v>564</v>
      </c>
      <c r="H191" s="412" t="s">
        <v>565</v>
      </c>
      <c r="I191" s="412" t="s">
        <v>566</v>
      </c>
      <c r="J191" s="412" t="s">
        <v>567</v>
      </c>
      <c r="K191" s="412" t="s">
        <v>568</v>
      </c>
      <c r="L191" s="412" t="s">
        <v>564</v>
      </c>
      <c r="M191" s="412" t="s">
        <v>569</v>
      </c>
      <c r="N191" s="412" t="s">
        <v>565</v>
      </c>
      <c r="O191" s="412" t="s">
        <v>566</v>
      </c>
      <c r="P191" s="412" t="s">
        <v>570</v>
      </c>
      <c r="Q191" s="397"/>
      <c r="R191" s="420"/>
    </row>
    <row r="192" spans="2:18">
      <c r="C192" s="430"/>
      <c r="D192" s="431"/>
      <c r="E192" s="346" t="s">
        <v>355</v>
      </c>
      <c r="F192" s="28" t="s">
        <v>571</v>
      </c>
      <c r="G192" s="454">
        <v>2100</v>
      </c>
      <c r="H192" s="454">
        <v>100</v>
      </c>
      <c r="I192" s="454">
        <v>100</v>
      </c>
      <c r="J192" s="454">
        <v>100</v>
      </c>
      <c r="K192" s="454">
        <v>40</v>
      </c>
      <c r="L192" s="454"/>
      <c r="M192" s="454"/>
      <c r="N192" s="454"/>
      <c r="O192" s="454"/>
      <c r="P192" s="454"/>
      <c r="Q192" s="397"/>
      <c r="R192" s="420"/>
    </row>
    <row r="193" spans="3:18">
      <c r="C193" s="430"/>
      <c r="D193" s="431"/>
      <c r="E193" s="346" t="s">
        <v>353</v>
      </c>
      <c r="G193" s="385" t="str">
        <f t="shared" ref="G193:P193" si="125">_xlfn.XLOOKUP(G191,Waste_names_L,Waste_qty_units_L)</f>
        <v>m2</v>
      </c>
      <c r="H193" s="385" t="str">
        <f t="shared" si="125"/>
        <v>tonne</v>
      </c>
      <c r="I193" s="385" t="str">
        <f t="shared" si="125"/>
        <v>tonne</v>
      </c>
      <c r="J193" s="385" t="str">
        <f t="shared" si="125"/>
        <v>tonne</v>
      </c>
      <c r="K193" s="385" t="str">
        <f t="shared" si="125"/>
        <v>kL</v>
      </c>
      <c r="L193" s="385" t="str">
        <f t="shared" si="125"/>
        <v>m2</v>
      </c>
      <c r="M193" s="385" t="str">
        <f t="shared" si="125"/>
        <v>m</v>
      </c>
      <c r="N193" s="385" t="str">
        <f t="shared" si="125"/>
        <v>tonne</v>
      </c>
      <c r="O193" s="385" t="str">
        <f t="shared" si="125"/>
        <v>tonne</v>
      </c>
      <c r="P193" s="385" t="str">
        <f t="shared" si="125"/>
        <v>m2</v>
      </c>
      <c r="Q193" s="397"/>
      <c r="R193" s="420"/>
    </row>
    <row r="194" spans="3:18">
      <c r="C194" s="430"/>
      <c r="D194" s="431"/>
      <c r="E194" s="346" t="s">
        <v>572</v>
      </c>
      <c r="F194" s="28" t="s">
        <v>573</v>
      </c>
      <c r="G194" s="385">
        <f t="shared" ref="G194:P194" si="126">IF(OR(G191=Concrete_rubble_debris_disposal,G191=Steel_disposal,G191=Asbestos_in_soil,G191=Hazardous_waste,G191=Restricted_solid_waste,G191=Low_level_solid_waste,G191=Oil_disposal,G191=Oily_water_disposal),1*G192,IF(G191=Asbestos_from_buildings,G192*Asbestos_sheet_density,IF(G191=Asbestos_from_pipe,G192*Asbestos_pipe_specific_density,IF(G191=Plastic_liner_disposal,G192*Liner_specific_mass))))</f>
        <v>21</v>
      </c>
      <c r="H194" s="385">
        <f t="shared" si="126"/>
        <v>100</v>
      </c>
      <c r="I194" s="385">
        <f t="shared" si="126"/>
        <v>100</v>
      </c>
      <c r="J194" s="385">
        <f t="shared" si="126"/>
        <v>100</v>
      </c>
      <c r="K194" s="385">
        <f t="shared" si="126"/>
        <v>40</v>
      </c>
      <c r="L194" s="385">
        <f t="shared" si="126"/>
        <v>0</v>
      </c>
      <c r="M194" s="385">
        <f t="shared" si="126"/>
        <v>0</v>
      </c>
      <c r="N194" s="385">
        <f t="shared" si="126"/>
        <v>0</v>
      </c>
      <c r="O194" s="385">
        <f t="shared" si="126"/>
        <v>0</v>
      </c>
      <c r="P194" s="385">
        <f t="shared" si="126"/>
        <v>0</v>
      </c>
      <c r="Q194" s="397"/>
      <c r="R194" s="420"/>
    </row>
    <row r="195" spans="3:18">
      <c r="C195" s="430"/>
      <c r="D195" s="431"/>
      <c r="E195" s="346" t="s">
        <v>574</v>
      </c>
      <c r="F195" s="28" t="s">
        <v>573</v>
      </c>
      <c r="G195" s="455"/>
      <c r="H195" s="455"/>
      <c r="I195" s="455"/>
      <c r="J195" s="455"/>
      <c r="K195" s="455"/>
      <c r="L195" s="455"/>
      <c r="M195" s="455"/>
      <c r="N195" s="455"/>
      <c r="O195" s="455"/>
      <c r="P195" s="455"/>
      <c r="Q195" s="397"/>
      <c r="R195" s="420"/>
    </row>
    <row r="196" spans="3:18">
      <c r="C196" s="430"/>
      <c r="D196" s="431"/>
      <c r="E196" s="346" t="s">
        <v>575</v>
      </c>
      <c r="F196" s="28" t="s">
        <v>573</v>
      </c>
      <c r="G196" s="385">
        <f>IF(G195="",G194,G195)</f>
        <v>21</v>
      </c>
      <c r="H196" s="385">
        <f t="shared" ref="H196:P196" si="127">IF(H195="",H194,H195)</f>
        <v>100</v>
      </c>
      <c r="I196" s="385">
        <f t="shared" si="127"/>
        <v>100</v>
      </c>
      <c r="J196" s="385">
        <f t="shared" si="127"/>
        <v>100</v>
      </c>
      <c r="K196" s="385">
        <f t="shared" si="127"/>
        <v>40</v>
      </c>
      <c r="L196" s="385">
        <f t="shared" si="127"/>
        <v>0</v>
      </c>
      <c r="M196" s="385">
        <f t="shared" si="127"/>
        <v>0</v>
      </c>
      <c r="N196" s="385">
        <f t="shared" si="127"/>
        <v>0</v>
      </c>
      <c r="O196" s="385">
        <f t="shared" si="127"/>
        <v>0</v>
      </c>
      <c r="P196" s="385">
        <f t="shared" si="127"/>
        <v>0</v>
      </c>
      <c r="Q196" s="397"/>
      <c r="R196" s="420"/>
    </row>
    <row r="197" spans="3:18">
      <c r="C197" s="446" t="s">
        <v>576</v>
      </c>
      <c r="D197" s="429"/>
      <c r="E197" s="346" t="s">
        <v>327</v>
      </c>
      <c r="F197" s="28" t="s">
        <v>123</v>
      </c>
      <c r="G197" s="456" t="s">
        <v>559</v>
      </c>
      <c r="H197" s="456" t="s">
        <v>577</v>
      </c>
      <c r="I197" s="456" t="s">
        <v>251</v>
      </c>
      <c r="J197" s="456" t="s">
        <v>578</v>
      </c>
      <c r="K197" s="456" t="s">
        <v>578</v>
      </c>
      <c r="L197" s="456" t="s">
        <v>578</v>
      </c>
      <c r="M197" s="456" t="s">
        <v>578</v>
      </c>
      <c r="N197" s="456" t="s">
        <v>578</v>
      </c>
      <c r="O197" s="456" t="s">
        <v>578</v>
      </c>
      <c r="P197" s="456" t="s">
        <v>578</v>
      </c>
      <c r="Q197" s="397"/>
      <c r="R197" s="420"/>
    </row>
    <row r="198" spans="3:18">
      <c r="C198" s="430"/>
      <c r="D198" s="431"/>
      <c r="E198" s="346" t="s">
        <v>579</v>
      </c>
      <c r="F198" s="28" t="s">
        <v>411</v>
      </c>
      <c r="G198" s="385">
        <f t="shared" ref="G198:P198" si="128">_xlfn.XLOOKUP(G197,Long_haul_distance_names_L,Long_haul_distances_average_L)</f>
        <v>32.5</v>
      </c>
      <c r="H198" s="385">
        <f t="shared" si="128"/>
        <v>22.5</v>
      </c>
      <c r="I198" s="385">
        <f t="shared" si="128"/>
        <v>42.5</v>
      </c>
      <c r="J198" s="385">
        <f t="shared" si="128"/>
        <v>37.5</v>
      </c>
      <c r="K198" s="385">
        <f t="shared" si="128"/>
        <v>37.5</v>
      </c>
      <c r="L198" s="385">
        <f t="shared" si="128"/>
        <v>37.5</v>
      </c>
      <c r="M198" s="385">
        <f t="shared" si="128"/>
        <v>37.5</v>
      </c>
      <c r="N198" s="385">
        <f t="shared" si="128"/>
        <v>37.5</v>
      </c>
      <c r="O198" s="385">
        <f t="shared" si="128"/>
        <v>37.5</v>
      </c>
      <c r="P198" s="385">
        <f t="shared" si="128"/>
        <v>37.5</v>
      </c>
      <c r="Q198" s="397"/>
      <c r="R198" s="420"/>
    </row>
    <row r="199" spans="3:18">
      <c r="C199" s="430"/>
      <c r="D199" s="431"/>
      <c r="E199" s="346" t="s">
        <v>580</v>
      </c>
      <c r="F199" s="28" t="s">
        <v>581</v>
      </c>
      <c r="G199" s="367">
        <f>G198*G196</f>
        <v>682.5</v>
      </c>
      <c r="H199" s="367">
        <f t="shared" ref="H199:P199" si="129">H198*H196</f>
        <v>2250</v>
      </c>
      <c r="I199" s="367">
        <f t="shared" si="129"/>
        <v>4250</v>
      </c>
      <c r="J199" s="367">
        <f t="shared" si="129"/>
        <v>3750</v>
      </c>
      <c r="K199" s="367">
        <f t="shared" si="129"/>
        <v>1500</v>
      </c>
      <c r="L199" s="367">
        <f t="shared" si="129"/>
        <v>0</v>
      </c>
      <c r="M199" s="367">
        <f t="shared" si="129"/>
        <v>0</v>
      </c>
      <c r="N199" s="367">
        <f t="shared" si="129"/>
        <v>0</v>
      </c>
      <c r="O199" s="367">
        <f t="shared" si="129"/>
        <v>0</v>
      </c>
      <c r="P199" s="367">
        <f t="shared" si="129"/>
        <v>0</v>
      </c>
      <c r="Q199" s="397"/>
      <c r="R199" s="420"/>
    </row>
    <row r="200" spans="3:18">
      <c r="C200" s="430"/>
      <c r="D200" s="431"/>
      <c r="E200" s="346" t="s">
        <v>227</v>
      </c>
      <c r="F200" s="28" t="s">
        <v>582</v>
      </c>
      <c r="G200" s="342">
        <f t="shared" ref="G200:P200" si="130">IF(OR(G191=Concrete_rubble_debris_disposal,G191=Plastic_liner_disposal,G191=Asbestos_in_soil,G191=Asbestos_from_buildings,G191=Asbestos_from_pipe),_xlfn.XLOOKUP(G197,Long_haul_concrete_rubble_distances_CS,Long_haul_concrete_rubble_rates_CS),IF(OR(G191=Hazardous_waste,G191=Restricted_solid_waste,G191=Low_level_solid_waste),_xlfn.XLOOKUP(G197,Long_haul_soil_amend_names_mass_CS,Long_haul_soil_amend_rates_mass_CS),IF(G191=Oily_water_disposal,_xlfn.XLOOKUP(G197,Load_and_haul_water_names_CS,Load_and_haul_water_rates_CS),IF(G191=Steel_disposal,_xlfn.XLOOKUP(G197,Long_haul_steel_distances_CS,Long_haul_steel_rates_CS),IF(G191=Oil_disposal,_xlfn.XLOOKUP(G197,Long_haul_oil_names_CS,Long_haul_oil_rates_CS))))))</f>
        <v>0.33431468868249054</v>
      </c>
      <c r="H200" s="342">
        <f t="shared" si="130"/>
        <v>0.12826527102068894</v>
      </c>
      <c r="I200" s="342">
        <f t="shared" si="130"/>
        <v>0.11943528415573579</v>
      </c>
      <c r="J200" s="342">
        <f t="shared" si="130"/>
        <v>0.12388427816947212</v>
      </c>
      <c r="K200" s="342">
        <f t="shared" si="130"/>
        <v>1.1096548408057179</v>
      </c>
      <c r="L200" s="342">
        <f t="shared" si="130"/>
        <v>0.32986652405716321</v>
      </c>
      <c r="M200" s="342">
        <f t="shared" si="130"/>
        <v>0.32986652405716321</v>
      </c>
      <c r="N200" s="342">
        <f t="shared" si="130"/>
        <v>0.12388427816947212</v>
      </c>
      <c r="O200" s="342">
        <f t="shared" si="130"/>
        <v>0.12388427816947212</v>
      </c>
      <c r="P200" s="342">
        <f t="shared" si="130"/>
        <v>0.32986652405716321</v>
      </c>
      <c r="Q200" s="397"/>
      <c r="R200" s="420"/>
    </row>
    <row r="201" spans="3:18">
      <c r="C201" s="430"/>
      <c r="D201" s="431"/>
      <c r="E201" s="346" t="s">
        <v>229</v>
      </c>
      <c r="F201" s="28" t="s">
        <v>582</v>
      </c>
      <c r="G201" s="414"/>
      <c r="H201" s="414"/>
      <c r="I201" s="414"/>
      <c r="J201" s="414"/>
      <c r="K201" s="414"/>
      <c r="L201" s="414"/>
      <c r="M201" s="414"/>
      <c r="N201" s="414"/>
      <c r="O201" s="414"/>
      <c r="P201" s="414"/>
      <c r="Q201" s="397"/>
      <c r="R201" s="420"/>
    </row>
    <row r="202" spans="3:18">
      <c r="C202" s="432"/>
      <c r="D202" s="433"/>
      <c r="E202" s="346" t="s">
        <v>146</v>
      </c>
      <c r="F202" s="28" t="s">
        <v>207</v>
      </c>
      <c r="G202" s="424">
        <f t="shared" ref="G202:P202" si="131">G199*IF(G201="",G200,G201)</f>
        <v>228.16977502579979</v>
      </c>
      <c r="H202" s="424">
        <f t="shared" si="131"/>
        <v>288.59685979655012</v>
      </c>
      <c r="I202" s="424">
        <f t="shared" si="131"/>
        <v>507.59995766187711</v>
      </c>
      <c r="J202" s="424">
        <f t="shared" si="131"/>
        <v>464.56604313552043</v>
      </c>
      <c r="K202" s="424">
        <f t="shared" si="131"/>
        <v>1664.4822612085768</v>
      </c>
      <c r="L202" s="424">
        <f t="shared" si="131"/>
        <v>0</v>
      </c>
      <c r="M202" s="424">
        <f t="shared" si="131"/>
        <v>0</v>
      </c>
      <c r="N202" s="424">
        <f t="shared" si="131"/>
        <v>0</v>
      </c>
      <c r="O202" s="424">
        <f t="shared" si="131"/>
        <v>0</v>
      </c>
      <c r="P202" s="424">
        <f t="shared" si="131"/>
        <v>0</v>
      </c>
      <c r="Q202" s="397"/>
      <c r="R202" s="420"/>
    </row>
    <row r="203" spans="3:18">
      <c r="C203" s="430" t="s">
        <v>583</v>
      </c>
      <c r="D203" s="431"/>
      <c r="E203" s="346" t="s">
        <v>227</v>
      </c>
      <c r="F203" s="28" t="s">
        <v>584</v>
      </c>
      <c r="G203" s="342">
        <f t="shared" ref="G203:P203" si="132">_xlfn.XLOOKUP(G191,Waste_gate_fee_names_R,Waste_gate_fee_rates_R)</f>
        <v>460</v>
      </c>
      <c r="H203" s="342">
        <f t="shared" si="132"/>
        <v>800</v>
      </c>
      <c r="I203" s="342">
        <f t="shared" si="132"/>
        <v>460</v>
      </c>
      <c r="J203" s="342">
        <f t="shared" si="132"/>
        <v>80</v>
      </c>
      <c r="K203" s="342">
        <f t="shared" si="132"/>
        <v>330</v>
      </c>
      <c r="L203" s="342">
        <f t="shared" si="132"/>
        <v>460</v>
      </c>
      <c r="M203" s="342">
        <f t="shared" si="132"/>
        <v>80</v>
      </c>
      <c r="N203" s="342">
        <f t="shared" si="132"/>
        <v>800</v>
      </c>
      <c r="O203" s="342">
        <f t="shared" si="132"/>
        <v>460</v>
      </c>
      <c r="P203" s="342">
        <f t="shared" si="132"/>
        <v>0.16799999999999998</v>
      </c>
      <c r="Q203" s="397"/>
      <c r="R203" s="420"/>
    </row>
    <row r="204" spans="3:18">
      <c r="C204" s="430"/>
      <c r="D204" s="431"/>
      <c r="E204" s="346" t="s">
        <v>229</v>
      </c>
      <c r="F204" s="28" t="s">
        <v>584</v>
      </c>
      <c r="G204" s="414"/>
      <c r="H204" s="414"/>
      <c r="I204" s="414"/>
      <c r="J204" s="414"/>
      <c r="K204" s="414"/>
      <c r="L204" s="414"/>
      <c r="M204" s="414"/>
      <c r="N204" s="414"/>
      <c r="O204" s="414"/>
      <c r="P204" s="414"/>
      <c r="Q204" s="397"/>
      <c r="R204" s="420"/>
    </row>
    <row r="205" spans="3:18">
      <c r="C205" s="432"/>
      <c r="D205" s="433"/>
      <c r="E205" s="346" t="s">
        <v>146</v>
      </c>
      <c r="F205" s="28" t="s">
        <v>207</v>
      </c>
      <c r="G205" s="424">
        <f t="shared" ref="G205:P205" si="133">IF(G204="",G203,G204)*G196</f>
        <v>9660</v>
      </c>
      <c r="H205" s="424">
        <f t="shared" si="133"/>
        <v>80000</v>
      </c>
      <c r="I205" s="424">
        <f t="shared" si="133"/>
        <v>46000</v>
      </c>
      <c r="J205" s="424">
        <f t="shared" si="133"/>
        <v>8000</v>
      </c>
      <c r="K205" s="424">
        <f t="shared" si="133"/>
        <v>13200</v>
      </c>
      <c r="L205" s="424">
        <f t="shared" si="133"/>
        <v>0</v>
      </c>
      <c r="M205" s="424">
        <f t="shared" si="133"/>
        <v>0</v>
      </c>
      <c r="N205" s="424">
        <f t="shared" si="133"/>
        <v>0</v>
      </c>
      <c r="O205" s="424">
        <f t="shared" si="133"/>
        <v>0</v>
      </c>
      <c r="P205" s="424">
        <f t="shared" si="133"/>
        <v>0</v>
      </c>
      <c r="Q205" s="397"/>
      <c r="R205" s="420"/>
    </row>
    <row r="206" spans="3:18" ht="22.5">
      <c r="C206" s="446" t="s">
        <v>585</v>
      </c>
      <c r="D206" s="429"/>
      <c r="E206" s="346" t="s">
        <v>311</v>
      </c>
      <c r="F206" s="28" t="s">
        <v>123</v>
      </c>
      <c r="G206" s="412" t="s">
        <v>586</v>
      </c>
      <c r="H206" s="412" t="s">
        <v>586</v>
      </c>
      <c r="I206" s="412" t="s">
        <v>586</v>
      </c>
      <c r="J206" s="412" t="s">
        <v>587</v>
      </c>
      <c r="K206" s="412" t="s">
        <v>587</v>
      </c>
      <c r="L206" s="412" t="s">
        <v>588</v>
      </c>
      <c r="M206" s="412" t="s">
        <v>588</v>
      </c>
      <c r="N206" s="412" t="s">
        <v>587</v>
      </c>
      <c r="O206" s="412" t="s">
        <v>587</v>
      </c>
      <c r="P206" s="412" t="s">
        <v>587</v>
      </c>
      <c r="Q206" s="397"/>
      <c r="R206" s="420"/>
    </row>
    <row r="207" spans="3:18">
      <c r="C207" s="430"/>
      <c r="D207" s="431"/>
      <c r="E207" s="346" t="s">
        <v>322</v>
      </c>
      <c r="F207" s="28" t="s">
        <v>221</v>
      </c>
      <c r="G207" s="385">
        <f>IF(G193="kL",0,G196)</f>
        <v>21</v>
      </c>
      <c r="H207" s="385">
        <f t="shared" ref="H207:P207" si="134">IF(H193="kL",0,H196)</f>
        <v>100</v>
      </c>
      <c r="I207" s="385">
        <f t="shared" si="134"/>
        <v>100</v>
      </c>
      <c r="J207" s="385">
        <f t="shared" si="134"/>
        <v>100</v>
      </c>
      <c r="K207" s="385">
        <f t="shared" si="134"/>
        <v>0</v>
      </c>
      <c r="L207" s="385">
        <f t="shared" si="134"/>
        <v>0</v>
      </c>
      <c r="M207" s="385">
        <f t="shared" si="134"/>
        <v>0</v>
      </c>
      <c r="N207" s="385">
        <f t="shared" si="134"/>
        <v>0</v>
      </c>
      <c r="O207" s="385">
        <f t="shared" si="134"/>
        <v>0</v>
      </c>
      <c r="P207" s="385">
        <f t="shared" si="134"/>
        <v>0</v>
      </c>
      <c r="Q207" s="397"/>
      <c r="R207" s="420"/>
    </row>
    <row r="208" spans="3:18">
      <c r="C208" s="430"/>
      <c r="D208" s="431"/>
      <c r="E208" s="346" t="s">
        <v>227</v>
      </c>
      <c r="F208" s="28" t="s">
        <v>228</v>
      </c>
      <c r="G208" s="342">
        <f t="shared" ref="G208:P208" si="135">_xlfn.XLOOKUP(G206,Waste_levy_names_R,Waste_levy_rates_R)</f>
        <v>97.9</v>
      </c>
      <c r="H208" s="342">
        <f t="shared" si="135"/>
        <v>97.9</v>
      </c>
      <c r="I208" s="342">
        <f t="shared" si="135"/>
        <v>97.9</v>
      </c>
      <c r="J208" s="342">
        <f t="shared" si="135"/>
        <v>0</v>
      </c>
      <c r="K208" s="342">
        <f t="shared" si="135"/>
        <v>0</v>
      </c>
      <c r="L208" s="342">
        <f t="shared" si="135"/>
        <v>170.1</v>
      </c>
      <c r="M208" s="342">
        <f t="shared" si="135"/>
        <v>170.1</v>
      </c>
      <c r="N208" s="342">
        <f t="shared" si="135"/>
        <v>0</v>
      </c>
      <c r="O208" s="342">
        <f t="shared" si="135"/>
        <v>0</v>
      </c>
      <c r="P208" s="342">
        <f t="shared" si="135"/>
        <v>0</v>
      </c>
      <c r="Q208" s="397"/>
      <c r="R208" s="420"/>
    </row>
    <row r="209" spans="3:18">
      <c r="C209" s="430"/>
      <c r="D209" s="431"/>
      <c r="E209" s="346" t="s">
        <v>229</v>
      </c>
      <c r="F209" s="28" t="s">
        <v>228</v>
      </c>
      <c r="G209" s="414"/>
      <c r="H209" s="414"/>
      <c r="I209" s="414"/>
      <c r="J209" s="414"/>
      <c r="K209" s="414"/>
      <c r="L209" s="414"/>
      <c r="M209" s="414"/>
      <c r="N209" s="414"/>
      <c r="O209" s="414"/>
      <c r="P209" s="414"/>
      <c r="Q209" s="397"/>
      <c r="R209" s="420"/>
    </row>
    <row r="210" spans="3:18">
      <c r="C210" s="432"/>
      <c r="D210" s="433"/>
      <c r="E210" s="346" t="s">
        <v>146</v>
      </c>
      <c r="F210" s="28" t="s">
        <v>207</v>
      </c>
      <c r="G210" s="424">
        <f t="shared" ref="G210:P210" si="136">IF(G209="",G208,G209)*G207</f>
        <v>2055.9</v>
      </c>
      <c r="H210" s="424">
        <f t="shared" si="136"/>
        <v>9790</v>
      </c>
      <c r="I210" s="424">
        <f t="shared" si="136"/>
        <v>9790</v>
      </c>
      <c r="J210" s="424">
        <f t="shared" si="136"/>
        <v>0</v>
      </c>
      <c r="K210" s="424">
        <f t="shared" si="136"/>
        <v>0</v>
      </c>
      <c r="L210" s="424">
        <f t="shared" si="136"/>
        <v>0</v>
      </c>
      <c r="M210" s="424">
        <f t="shared" si="136"/>
        <v>0</v>
      </c>
      <c r="N210" s="424">
        <f t="shared" si="136"/>
        <v>0</v>
      </c>
      <c r="O210" s="424">
        <f t="shared" si="136"/>
        <v>0</v>
      </c>
      <c r="P210" s="424">
        <f t="shared" si="136"/>
        <v>0</v>
      </c>
      <c r="Q210" s="397"/>
      <c r="R210" s="420"/>
    </row>
    <row r="211" spans="3:18" ht="12" thickBot="1">
      <c r="C211" s="391"/>
      <c r="D211" s="373"/>
      <c r="E211" s="374" t="str">
        <f>C191</f>
        <v>Dispose of Waste</v>
      </c>
      <c r="F211" s="72"/>
      <c r="G211" s="365">
        <f t="shared" ref="G211:P211" si="137">G202+G205+G210</f>
        <v>11944.069775025799</v>
      </c>
      <c r="H211" s="365">
        <f t="shared" si="137"/>
        <v>90078.596859796555</v>
      </c>
      <c r="I211" s="365">
        <f t="shared" si="137"/>
        <v>56297.599957661878</v>
      </c>
      <c r="J211" s="365">
        <f t="shared" si="137"/>
        <v>8464.5660431355209</v>
      </c>
      <c r="K211" s="365">
        <f t="shared" si="137"/>
        <v>14864.482261208577</v>
      </c>
      <c r="L211" s="365">
        <f t="shared" si="137"/>
        <v>0</v>
      </c>
      <c r="M211" s="365">
        <f t="shared" si="137"/>
        <v>0</v>
      </c>
      <c r="N211" s="365">
        <f t="shared" si="137"/>
        <v>0</v>
      </c>
      <c r="O211" s="365">
        <f t="shared" si="137"/>
        <v>0</v>
      </c>
      <c r="P211" s="365">
        <f t="shared" si="137"/>
        <v>0</v>
      </c>
      <c r="Q211" s="397"/>
      <c r="R211" s="420"/>
    </row>
    <row r="212" spans="3:18" ht="12" thickTop="1">
      <c r="C212" s="428" t="s">
        <v>589</v>
      </c>
      <c r="D212" s="376" t="s">
        <v>590</v>
      </c>
      <c r="E212" s="346" t="s">
        <v>591</v>
      </c>
      <c r="F212" s="28" t="s">
        <v>219</v>
      </c>
      <c r="G212" s="455"/>
      <c r="H212" s="455"/>
      <c r="I212" s="455"/>
      <c r="J212" s="455"/>
      <c r="K212" s="455"/>
      <c r="L212" s="455"/>
      <c r="M212" s="455"/>
      <c r="N212" s="455"/>
      <c r="O212" s="455"/>
      <c r="P212" s="455"/>
      <c r="Q212" s="397"/>
      <c r="R212" s="420"/>
    </row>
    <row r="213" spans="3:18">
      <c r="C213" s="430"/>
      <c r="D213" s="371"/>
      <c r="E213" s="346" t="s">
        <v>204</v>
      </c>
      <c r="F213" s="28" t="s">
        <v>352</v>
      </c>
      <c r="G213" s="342">
        <f>IF(G212=0,0,IF(G212&lt;=Biopile_minimum_volume_for_lump_sum_cost,'Cost Schedule'!$D$86,'Cost Schedule'!$D$87))</f>
        <v>0</v>
      </c>
      <c r="H213" s="342">
        <f>IF(H212=0,0,IF(H212&lt;=Biopile_minimum_volume_for_lump_sum_cost,'Cost Schedule'!$D$86,'Cost Schedule'!$D$87))</f>
        <v>0</v>
      </c>
      <c r="I213" s="342">
        <f>IF(I212=0,0,IF(I212&lt;=Biopile_minimum_volume_for_lump_sum_cost,'Cost Schedule'!$D$86,'Cost Schedule'!$D$87))</f>
        <v>0</v>
      </c>
      <c r="J213" s="342">
        <f>IF(J212=0,0,IF(J212&lt;=Biopile_minimum_volume_for_lump_sum_cost,'Cost Schedule'!$D$86,'Cost Schedule'!$D$87))</f>
        <v>0</v>
      </c>
      <c r="K213" s="342">
        <f>IF(K212=0,0,IF(K212&lt;=Biopile_minimum_volume_for_lump_sum_cost,'Cost Schedule'!$D$86,'Cost Schedule'!$D$87))</f>
        <v>0</v>
      </c>
      <c r="L213" s="342">
        <f>IF(L212=0,0,IF(L212&lt;=Biopile_minimum_volume_for_lump_sum_cost,'Cost Schedule'!$D$86,'Cost Schedule'!$D$87))</f>
        <v>0</v>
      </c>
      <c r="M213" s="342">
        <f>IF(M212=0,0,IF(M212&lt;=Biopile_minimum_volume_for_lump_sum_cost,'Cost Schedule'!$D$86,'Cost Schedule'!$D$87))</f>
        <v>0</v>
      </c>
      <c r="N213" s="342">
        <f>IF(N212=0,0,IF(N212&lt;=Biopile_minimum_volume_for_lump_sum_cost,'Cost Schedule'!$D$86,'Cost Schedule'!$D$87))</f>
        <v>0</v>
      </c>
      <c r="O213" s="342">
        <f>IF(O212=0,0,IF(O212&lt;=Biopile_minimum_volume_for_lump_sum_cost,'Cost Schedule'!$D$86,'Cost Schedule'!$D$87))</f>
        <v>0</v>
      </c>
      <c r="P213" s="342">
        <f>IF(P212=0,0,IF(P212&lt;=Biopile_minimum_volume_for_lump_sum_cost,'Cost Schedule'!$D$86,'Cost Schedule'!$D$87))</f>
        <v>0</v>
      </c>
      <c r="Q213" s="397"/>
      <c r="R213" s="420"/>
    </row>
    <row r="214" spans="3:18">
      <c r="C214" s="430"/>
      <c r="D214" s="371"/>
      <c r="E214" s="346" t="s">
        <v>592</v>
      </c>
      <c r="F214" s="28" t="s">
        <v>592</v>
      </c>
      <c r="G214" s="447" t="str">
        <f t="shared" ref="G214:P214" si="138">IF(G212&lt;=Biopile_minimum_volume_for_lump_sum_cost,"$","$/m3")</f>
        <v>$</v>
      </c>
      <c r="H214" s="447" t="str">
        <f t="shared" si="138"/>
        <v>$</v>
      </c>
      <c r="I214" s="447" t="str">
        <f t="shared" si="138"/>
        <v>$</v>
      </c>
      <c r="J214" s="447" t="str">
        <f t="shared" si="138"/>
        <v>$</v>
      </c>
      <c r="K214" s="447" t="str">
        <f t="shared" si="138"/>
        <v>$</v>
      </c>
      <c r="L214" s="447" t="str">
        <f t="shared" si="138"/>
        <v>$</v>
      </c>
      <c r="M214" s="447" t="str">
        <f t="shared" si="138"/>
        <v>$</v>
      </c>
      <c r="N214" s="447" t="str">
        <f t="shared" si="138"/>
        <v>$</v>
      </c>
      <c r="O214" s="447" t="str">
        <f t="shared" si="138"/>
        <v>$</v>
      </c>
      <c r="P214" s="447" t="str">
        <f t="shared" si="138"/>
        <v>$</v>
      </c>
      <c r="Q214" s="397"/>
      <c r="R214" s="420"/>
    </row>
    <row r="215" spans="3:18">
      <c r="C215" s="430"/>
      <c r="D215" s="371"/>
      <c r="E215" s="346" t="s">
        <v>229</v>
      </c>
      <c r="F215" s="28" t="s">
        <v>593</v>
      </c>
      <c r="G215" s="414"/>
      <c r="H215" s="414"/>
      <c r="I215" s="414"/>
      <c r="J215" s="414"/>
      <c r="K215" s="414"/>
      <c r="L215" s="414"/>
      <c r="M215" s="414"/>
      <c r="N215" s="414"/>
      <c r="O215" s="414"/>
      <c r="P215" s="414"/>
      <c r="Q215" s="397"/>
      <c r="R215" s="420"/>
    </row>
    <row r="216" spans="3:18">
      <c r="C216" s="430"/>
      <c r="D216" s="377"/>
      <c r="E216" s="346" t="s">
        <v>146</v>
      </c>
      <c r="F216" s="28" t="s">
        <v>207</v>
      </c>
      <c r="G216" s="448">
        <f t="shared" ref="G216:P216" si="139">IF(AND(G212&lt;=Biopile_minimum_volume_for_lump_sum_cost,G215=""),G213,IF(AND(G212&lt;=Biopile_minimum_volume_for_lump_sum_cost,G215&lt;&gt;""),G215,G212*IF(G215="",G213,G215)))</f>
        <v>0</v>
      </c>
      <c r="H216" s="448">
        <f t="shared" si="139"/>
        <v>0</v>
      </c>
      <c r="I216" s="448">
        <f t="shared" si="139"/>
        <v>0</v>
      </c>
      <c r="J216" s="448">
        <f t="shared" si="139"/>
        <v>0</v>
      </c>
      <c r="K216" s="448">
        <f t="shared" si="139"/>
        <v>0</v>
      </c>
      <c r="L216" s="448">
        <f t="shared" si="139"/>
        <v>0</v>
      </c>
      <c r="M216" s="448">
        <f t="shared" si="139"/>
        <v>0</v>
      </c>
      <c r="N216" s="448">
        <f t="shared" si="139"/>
        <v>0</v>
      </c>
      <c r="O216" s="448">
        <f t="shared" si="139"/>
        <v>0</v>
      </c>
      <c r="P216" s="448">
        <f t="shared" si="139"/>
        <v>0</v>
      </c>
      <c r="Q216" s="397"/>
      <c r="R216" s="420"/>
    </row>
    <row r="217" spans="3:18" ht="33.75">
      <c r="C217" s="446" t="s">
        <v>589</v>
      </c>
      <c r="D217" s="376" t="s">
        <v>594</v>
      </c>
      <c r="E217" s="346" t="s">
        <v>311</v>
      </c>
      <c r="F217" s="28" t="s">
        <v>123</v>
      </c>
      <c r="G217" s="412" t="s">
        <v>595</v>
      </c>
      <c r="H217" s="412" t="s">
        <v>596</v>
      </c>
      <c r="I217" s="412" t="s">
        <v>596</v>
      </c>
      <c r="J217" s="412" t="s">
        <v>595</v>
      </c>
      <c r="K217" s="412" t="s">
        <v>595</v>
      </c>
      <c r="L217" s="412" t="s">
        <v>595</v>
      </c>
      <c r="M217" s="412" t="s">
        <v>595</v>
      </c>
      <c r="N217" s="412" t="s">
        <v>595</v>
      </c>
      <c r="O217" s="412" t="s">
        <v>595</v>
      </c>
      <c r="P217" s="412" t="s">
        <v>595</v>
      </c>
      <c r="Q217" s="397"/>
      <c r="R217" s="420"/>
    </row>
    <row r="218" spans="3:18">
      <c r="C218" s="430"/>
      <c r="D218" s="371"/>
      <c r="E218" s="346" t="s">
        <v>355</v>
      </c>
      <c r="G218" s="455"/>
      <c r="H218" s="455"/>
      <c r="I218" s="455"/>
      <c r="J218" s="455"/>
      <c r="K218" s="455"/>
      <c r="L218" s="455"/>
      <c r="M218" s="455"/>
      <c r="N218" s="455"/>
      <c r="O218" s="455"/>
      <c r="P218" s="455"/>
      <c r="Q218" s="397"/>
      <c r="R218" s="420"/>
    </row>
    <row r="219" spans="3:18">
      <c r="C219" s="430"/>
      <c r="D219" s="371"/>
      <c r="E219" s="346" t="s">
        <v>353</v>
      </c>
      <c r="G219" s="385" t="str">
        <f t="shared" ref="G219:P219" si="140">_xlfn.XLOOKUP(G217,Contaminated_soil_names_CS,Contaminated_soil_units_CS)</f>
        <v>m3</v>
      </c>
      <c r="H219" s="385" t="str">
        <f t="shared" si="140"/>
        <v>t</v>
      </c>
      <c r="I219" s="385" t="str">
        <f t="shared" si="140"/>
        <v>t</v>
      </c>
      <c r="J219" s="385" t="str">
        <f t="shared" si="140"/>
        <v>m3</v>
      </c>
      <c r="K219" s="385" t="str">
        <f t="shared" si="140"/>
        <v>m3</v>
      </c>
      <c r="L219" s="385" t="str">
        <f t="shared" si="140"/>
        <v>m3</v>
      </c>
      <c r="M219" s="385" t="str">
        <f t="shared" si="140"/>
        <v>m3</v>
      </c>
      <c r="N219" s="385" t="str">
        <f t="shared" si="140"/>
        <v>m3</v>
      </c>
      <c r="O219" s="385" t="str">
        <f t="shared" si="140"/>
        <v>m3</v>
      </c>
      <c r="P219" s="385" t="str">
        <f t="shared" si="140"/>
        <v>m3</v>
      </c>
      <c r="Q219" s="397"/>
      <c r="R219" s="420"/>
    </row>
    <row r="220" spans="3:18">
      <c r="C220" s="430"/>
      <c r="D220" s="371"/>
      <c r="E220" s="346" t="s">
        <v>227</v>
      </c>
      <c r="F220" s="28" t="s">
        <v>352</v>
      </c>
      <c r="G220" s="342">
        <f t="shared" ref="G220:P220" si="141">_xlfn.XLOOKUP(G217,Contaminated_soil_names_CS,Contaminated_soil_rates_CS)</f>
        <v>34.320540423513727</v>
      </c>
      <c r="H220" s="342">
        <f t="shared" si="141"/>
        <v>400</v>
      </c>
      <c r="I220" s="342">
        <f t="shared" si="141"/>
        <v>400</v>
      </c>
      <c r="J220" s="342">
        <f t="shared" si="141"/>
        <v>34.320540423513727</v>
      </c>
      <c r="K220" s="342">
        <f t="shared" si="141"/>
        <v>34.320540423513727</v>
      </c>
      <c r="L220" s="342">
        <f t="shared" si="141"/>
        <v>34.320540423513727</v>
      </c>
      <c r="M220" s="342">
        <f t="shared" si="141"/>
        <v>34.320540423513727</v>
      </c>
      <c r="N220" s="342">
        <f t="shared" si="141"/>
        <v>34.320540423513727</v>
      </c>
      <c r="O220" s="342">
        <f t="shared" si="141"/>
        <v>34.320540423513727</v>
      </c>
      <c r="P220" s="342">
        <f t="shared" si="141"/>
        <v>34.320540423513727</v>
      </c>
      <c r="Q220" s="397"/>
      <c r="R220" s="420"/>
    </row>
    <row r="221" spans="3:18">
      <c r="C221" s="430"/>
      <c r="D221" s="371"/>
      <c r="E221" s="346" t="s">
        <v>229</v>
      </c>
      <c r="F221" s="28" t="s">
        <v>352</v>
      </c>
      <c r="G221" s="414"/>
      <c r="H221" s="414"/>
      <c r="I221" s="414"/>
      <c r="J221" s="414"/>
      <c r="K221" s="414"/>
      <c r="L221" s="414"/>
      <c r="M221" s="414"/>
      <c r="N221" s="414"/>
      <c r="O221" s="414"/>
      <c r="P221" s="414"/>
      <c r="Q221" s="397"/>
      <c r="R221" s="420"/>
    </row>
    <row r="222" spans="3:18">
      <c r="C222" s="386"/>
      <c r="D222" s="377"/>
      <c r="E222" s="346" t="s">
        <v>146</v>
      </c>
      <c r="F222" s="28" t="s">
        <v>207</v>
      </c>
      <c r="G222" s="424">
        <f t="shared" ref="G222:P222" si="142">IF(G221="",G220,G221)*G218</f>
        <v>0</v>
      </c>
      <c r="H222" s="424">
        <f t="shared" si="142"/>
        <v>0</v>
      </c>
      <c r="I222" s="424">
        <f t="shared" si="142"/>
        <v>0</v>
      </c>
      <c r="J222" s="424">
        <f t="shared" si="142"/>
        <v>0</v>
      </c>
      <c r="K222" s="424">
        <f t="shared" si="142"/>
        <v>0</v>
      </c>
      <c r="L222" s="424">
        <f t="shared" si="142"/>
        <v>0</v>
      </c>
      <c r="M222" s="424">
        <f t="shared" si="142"/>
        <v>0</v>
      </c>
      <c r="N222" s="424">
        <f t="shared" si="142"/>
        <v>0</v>
      </c>
      <c r="O222" s="424">
        <f t="shared" si="142"/>
        <v>0</v>
      </c>
      <c r="P222" s="424">
        <f t="shared" si="142"/>
        <v>0</v>
      </c>
      <c r="Q222" s="397"/>
      <c r="R222" s="420"/>
    </row>
    <row r="223" spans="3:18" ht="33.75">
      <c r="C223" s="449" t="s">
        <v>597</v>
      </c>
      <c r="D223" s="450" t="s">
        <v>598</v>
      </c>
      <c r="E223" s="346" t="s">
        <v>311</v>
      </c>
      <c r="F223" s="28" t="s">
        <v>123</v>
      </c>
      <c r="G223" s="412" t="s">
        <v>599</v>
      </c>
      <c r="H223" s="412" t="s">
        <v>599</v>
      </c>
      <c r="I223" s="412" t="s">
        <v>599</v>
      </c>
      <c r="J223" s="412" t="s">
        <v>599</v>
      </c>
      <c r="K223" s="412" t="s">
        <v>599</v>
      </c>
      <c r="L223" s="412" t="s">
        <v>599</v>
      </c>
      <c r="M223" s="412" t="s">
        <v>599</v>
      </c>
      <c r="N223" s="412" t="s">
        <v>599</v>
      </c>
      <c r="O223" s="412" t="s">
        <v>599</v>
      </c>
      <c r="P223" s="412" t="s">
        <v>599</v>
      </c>
      <c r="Q223" s="397"/>
      <c r="R223" s="420" t="s">
        <v>600</v>
      </c>
    </row>
    <row r="224" spans="3:18">
      <c r="C224" s="383"/>
      <c r="D224" s="431"/>
      <c r="E224" s="346" t="s">
        <v>355</v>
      </c>
      <c r="F224" s="28" t="s">
        <v>219</v>
      </c>
      <c r="G224" s="455"/>
      <c r="H224" s="455"/>
      <c r="I224" s="455"/>
      <c r="J224" s="455"/>
      <c r="K224" s="455"/>
      <c r="L224" s="455"/>
      <c r="M224" s="455"/>
      <c r="N224" s="455"/>
      <c r="O224" s="455"/>
      <c r="P224" s="455"/>
      <c r="Q224" s="397"/>
      <c r="R224" s="420"/>
    </row>
    <row r="225" spans="2:18">
      <c r="C225" s="383"/>
      <c r="D225" s="431"/>
      <c r="E225" s="346" t="s">
        <v>227</v>
      </c>
      <c r="F225" s="28" t="s">
        <v>352</v>
      </c>
      <c r="G225" s="342">
        <f t="shared" ref="G225:P225" si="143">_xlfn.XLOOKUP(G223,Load_haul_stabilised_names_CS,Load_haul_stabilised_rates_CS)</f>
        <v>3.6305227410650791</v>
      </c>
      <c r="H225" s="342">
        <f t="shared" si="143"/>
        <v>3.6305227410650791</v>
      </c>
      <c r="I225" s="342">
        <f>_xlfn.XLOOKUP(I223,Load_haul_stabilised_names_CS,Load_haul_stabilised_rates_CS)</f>
        <v>3.6305227410650791</v>
      </c>
      <c r="J225" s="342">
        <f t="shared" si="143"/>
        <v>3.6305227410650791</v>
      </c>
      <c r="K225" s="342">
        <f t="shared" si="143"/>
        <v>3.6305227410650791</v>
      </c>
      <c r="L225" s="342">
        <f t="shared" si="143"/>
        <v>3.6305227410650791</v>
      </c>
      <c r="M225" s="342">
        <f t="shared" si="143"/>
        <v>3.6305227410650791</v>
      </c>
      <c r="N225" s="342">
        <f t="shared" si="143"/>
        <v>3.6305227410650791</v>
      </c>
      <c r="O225" s="342">
        <f t="shared" si="143"/>
        <v>3.6305227410650791</v>
      </c>
      <c r="P225" s="342">
        <f t="shared" si="143"/>
        <v>3.6305227410650791</v>
      </c>
      <c r="Q225" s="397"/>
      <c r="R225" s="420"/>
    </row>
    <row r="226" spans="2:18">
      <c r="C226" s="383"/>
      <c r="D226" s="431"/>
      <c r="E226" s="346" t="s">
        <v>229</v>
      </c>
      <c r="F226" s="28" t="s">
        <v>352</v>
      </c>
      <c r="G226" s="414"/>
      <c r="H226" s="414"/>
      <c r="I226" s="414"/>
      <c r="J226" s="414"/>
      <c r="K226" s="414"/>
      <c r="L226" s="414"/>
      <c r="M226" s="414"/>
      <c r="N226" s="414"/>
      <c r="O226" s="414"/>
      <c r="P226" s="414"/>
      <c r="Q226" s="397"/>
      <c r="R226" s="420"/>
    </row>
    <row r="227" spans="2:18">
      <c r="C227" s="386"/>
      <c r="D227" s="433"/>
      <c r="E227" s="346" t="s">
        <v>146</v>
      </c>
      <c r="F227" s="28" t="s">
        <v>207</v>
      </c>
      <c r="G227" s="424">
        <f t="shared" ref="G227:P227" si="144">IF(G226="",G225,G226)*G224</f>
        <v>0</v>
      </c>
      <c r="H227" s="424">
        <f t="shared" si="144"/>
        <v>0</v>
      </c>
      <c r="I227" s="424">
        <f>IF(I226="",I225,I226)*I224</f>
        <v>0</v>
      </c>
      <c r="J227" s="424">
        <f t="shared" si="144"/>
        <v>0</v>
      </c>
      <c r="K227" s="424">
        <f t="shared" si="144"/>
        <v>0</v>
      </c>
      <c r="L227" s="424">
        <f t="shared" si="144"/>
        <v>0</v>
      </c>
      <c r="M227" s="424">
        <f t="shared" si="144"/>
        <v>0</v>
      </c>
      <c r="N227" s="424">
        <f t="shared" si="144"/>
        <v>0</v>
      </c>
      <c r="O227" s="424">
        <f t="shared" si="144"/>
        <v>0</v>
      </c>
      <c r="P227" s="424">
        <f t="shared" si="144"/>
        <v>0</v>
      </c>
      <c r="Q227" s="397"/>
      <c r="R227" s="420"/>
    </row>
    <row r="228" spans="2:18" ht="12" thickBot="1">
      <c r="C228" s="372"/>
      <c r="D228" s="373"/>
      <c r="E228" s="374" t="str">
        <f>C212</f>
        <v>Contaminated soil treat on-site</v>
      </c>
      <c r="F228" s="72"/>
      <c r="G228" s="365">
        <f>G216+G222+G227</f>
        <v>0</v>
      </c>
      <c r="H228" s="365">
        <f t="shared" ref="H228:P228" si="145">H216+H222+H227</f>
        <v>0</v>
      </c>
      <c r="I228" s="365">
        <f t="shared" si="145"/>
        <v>0</v>
      </c>
      <c r="J228" s="365">
        <f t="shared" si="145"/>
        <v>0</v>
      </c>
      <c r="K228" s="365">
        <f t="shared" si="145"/>
        <v>0</v>
      </c>
      <c r="L228" s="365">
        <f t="shared" si="145"/>
        <v>0</v>
      </c>
      <c r="M228" s="365">
        <f t="shared" si="145"/>
        <v>0</v>
      </c>
      <c r="N228" s="365">
        <f t="shared" si="145"/>
        <v>0</v>
      </c>
      <c r="O228" s="365">
        <f t="shared" si="145"/>
        <v>0</v>
      </c>
      <c r="P228" s="365">
        <f t="shared" si="145"/>
        <v>0</v>
      </c>
      <c r="Q228" s="397"/>
      <c r="R228" s="420"/>
    </row>
    <row r="229" spans="2:18" ht="12" thickTop="1">
      <c r="C229" s="466"/>
      <c r="D229" s="467"/>
      <c r="E229" s="467"/>
      <c r="F229" s="28" t="s">
        <v>207</v>
      </c>
      <c r="G229" s="468"/>
      <c r="H229" s="468"/>
      <c r="I229" s="468"/>
      <c r="J229" s="468"/>
      <c r="K229" s="468"/>
      <c r="L229" s="468"/>
      <c r="M229" s="468"/>
      <c r="N229" s="468"/>
      <c r="O229" s="468"/>
      <c r="P229" s="468"/>
      <c r="Q229" s="397"/>
      <c r="R229" s="420"/>
    </row>
    <row r="230" spans="2:18">
      <c r="C230" s="466"/>
      <c r="D230" s="467"/>
      <c r="E230" s="467"/>
      <c r="F230" s="28" t="s">
        <v>207</v>
      </c>
      <c r="G230" s="468"/>
      <c r="H230" s="468"/>
      <c r="I230" s="468"/>
      <c r="J230" s="468"/>
      <c r="K230" s="468"/>
      <c r="L230" s="468"/>
      <c r="M230" s="468"/>
      <c r="N230" s="468"/>
      <c r="O230" s="468"/>
      <c r="P230" s="468"/>
      <c r="Q230" s="397"/>
      <c r="R230" s="420"/>
    </row>
    <row r="231" spans="2:18">
      <c r="C231" s="466"/>
      <c r="D231" s="467"/>
      <c r="E231" s="467"/>
      <c r="F231" s="28" t="s">
        <v>207</v>
      </c>
      <c r="G231" s="468"/>
      <c r="H231" s="468"/>
      <c r="I231" s="468"/>
      <c r="J231" s="468"/>
      <c r="K231" s="468"/>
      <c r="L231" s="468"/>
      <c r="M231" s="468"/>
      <c r="N231" s="468"/>
      <c r="O231" s="468"/>
      <c r="P231" s="468"/>
      <c r="Q231" s="397"/>
      <c r="R231" s="420"/>
    </row>
    <row r="232" spans="2:18">
      <c r="C232" s="466"/>
      <c r="D232" s="467"/>
      <c r="E232" s="467"/>
      <c r="F232" s="28" t="s">
        <v>207</v>
      </c>
      <c r="G232" s="468"/>
      <c r="H232" s="468"/>
      <c r="I232" s="468"/>
      <c r="J232" s="468"/>
      <c r="K232" s="468"/>
      <c r="L232" s="468"/>
      <c r="M232" s="468"/>
      <c r="N232" s="468"/>
      <c r="O232" s="468"/>
      <c r="P232" s="468"/>
      <c r="Q232" s="397"/>
      <c r="R232" s="420"/>
    </row>
    <row r="233" spans="2:18">
      <c r="C233" s="466"/>
      <c r="D233" s="467"/>
      <c r="E233" s="467"/>
      <c r="F233" s="28" t="s">
        <v>207</v>
      </c>
      <c r="G233" s="468"/>
      <c r="H233" s="468"/>
      <c r="I233" s="468"/>
      <c r="J233" s="468"/>
      <c r="K233" s="468"/>
      <c r="L233" s="468"/>
      <c r="M233" s="468"/>
      <c r="N233" s="468"/>
      <c r="O233" s="468"/>
      <c r="P233" s="468"/>
      <c r="Q233" s="397"/>
      <c r="R233" s="420"/>
    </row>
    <row r="234" spans="2:18" ht="12" thickBot="1">
      <c r="C234" s="372"/>
      <c r="D234" s="373"/>
      <c r="E234" s="374" t="s">
        <v>173</v>
      </c>
      <c r="F234" s="72"/>
      <c r="G234" s="365">
        <f>SUM(G229:G233)</f>
        <v>0</v>
      </c>
      <c r="H234" s="365">
        <f t="shared" ref="H234:P234" si="146">SUM(H229:H233)</f>
        <v>0</v>
      </c>
      <c r="I234" s="365">
        <f t="shared" si="146"/>
        <v>0</v>
      </c>
      <c r="J234" s="365">
        <f t="shared" si="146"/>
        <v>0</v>
      </c>
      <c r="K234" s="365">
        <f t="shared" si="146"/>
        <v>0</v>
      </c>
      <c r="L234" s="365">
        <f t="shared" si="146"/>
        <v>0</v>
      </c>
      <c r="M234" s="365">
        <f t="shared" si="146"/>
        <v>0</v>
      </c>
      <c r="N234" s="365">
        <f t="shared" si="146"/>
        <v>0</v>
      </c>
      <c r="O234" s="365">
        <f t="shared" si="146"/>
        <v>0</v>
      </c>
      <c r="P234" s="365">
        <f t="shared" si="146"/>
        <v>0</v>
      </c>
      <c r="Q234" s="397"/>
      <c r="R234" s="420"/>
    </row>
    <row r="235" spans="2:18" ht="12" thickTop="1">
      <c r="C235" s="214"/>
      <c r="D235" s="214"/>
      <c r="E235" s="214"/>
      <c r="G235" s="28"/>
      <c r="H235" s="28"/>
      <c r="I235" s="28"/>
      <c r="J235" s="28"/>
      <c r="K235" s="28"/>
      <c r="L235" s="28"/>
      <c r="M235" s="28"/>
      <c r="N235" s="28"/>
      <c r="O235" s="28"/>
      <c r="P235" s="28"/>
      <c r="Q235" s="1"/>
    </row>
    <row r="236" spans="2:18">
      <c r="C236" s="214"/>
      <c r="D236" s="214"/>
      <c r="E236" s="214"/>
      <c r="G236" s="28"/>
      <c r="H236" s="28"/>
      <c r="I236" s="28"/>
      <c r="J236" s="28"/>
      <c r="K236" s="28"/>
      <c r="L236" s="28"/>
      <c r="M236" s="28"/>
      <c r="N236" s="28"/>
      <c r="O236" s="28"/>
      <c r="P236" s="28"/>
      <c r="Q236" s="1"/>
    </row>
    <row r="237" spans="2:18">
      <c r="B237" s="469"/>
      <c r="C237" s="451" t="s">
        <v>601</v>
      </c>
      <c r="D237" s="214"/>
      <c r="E237" s="214"/>
      <c r="G237" s="28"/>
      <c r="H237" s="28"/>
      <c r="I237" s="28"/>
      <c r="J237" s="28"/>
      <c r="K237" s="28"/>
      <c r="L237" s="28"/>
      <c r="M237" s="28"/>
      <c r="N237" s="28"/>
      <c r="O237" s="28"/>
      <c r="P237" s="28"/>
      <c r="Q237" s="1"/>
    </row>
    <row r="238" spans="2:18" hidden="1">
      <c r="B238" s="94" t="s">
        <v>533</v>
      </c>
      <c r="C238" s="215" t="s">
        <v>602</v>
      </c>
      <c r="D238" s="214"/>
      <c r="E238" s="214"/>
      <c r="G238" s="28"/>
      <c r="H238" s="28"/>
      <c r="I238" s="28"/>
      <c r="J238" s="28"/>
      <c r="K238" s="28"/>
      <c r="L238" s="28"/>
      <c r="M238" s="28"/>
      <c r="N238" s="28"/>
      <c r="O238" s="28"/>
      <c r="P238" s="28"/>
      <c r="Q238" s="1"/>
    </row>
    <row r="239" spans="2:18" hidden="1">
      <c r="B239" s="94" t="s">
        <v>533</v>
      </c>
      <c r="C239" s="216" t="s">
        <v>185</v>
      </c>
      <c r="D239" s="217" t="s">
        <v>186</v>
      </c>
      <c r="E239" s="217" t="s">
        <v>187</v>
      </c>
      <c r="F239" s="81" t="s">
        <v>592</v>
      </c>
      <c r="G239" s="63"/>
      <c r="H239" s="63"/>
      <c r="I239" s="63"/>
      <c r="J239" s="63"/>
      <c r="K239" s="63"/>
      <c r="L239" s="80"/>
      <c r="M239" s="80"/>
      <c r="N239" s="80"/>
      <c r="O239" s="80"/>
      <c r="P239" s="80"/>
      <c r="Q239" s="397"/>
      <c r="R239" s="49"/>
    </row>
    <row r="240" spans="2:18" hidden="1">
      <c r="B240" s="94" t="s">
        <v>533</v>
      </c>
      <c r="C240" s="187" t="s">
        <v>603</v>
      </c>
      <c r="D240" s="118" t="s">
        <v>604</v>
      </c>
      <c r="E240" s="182" t="s">
        <v>605</v>
      </c>
      <c r="F240" s="28" t="s">
        <v>299</v>
      </c>
      <c r="G240" s="460"/>
      <c r="H240" s="460"/>
      <c r="I240" s="460"/>
      <c r="J240" s="460"/>
      <c r="K240" s="460"/>
      <c r="L240" s="460"/>
      <c r="M240" s="460"/>
      <c r="N240" s="460"/>
      <c r="O240" s="460"/>
      <c r="P240" s="460"/>
      <c r="Q240" s="397"/>
      <c r="R240" s="49"/>
    </row>
    <row r="241" spans="2:18" hidden="1">
      <c r="B241" s="94" t="s">
        <v>533</v>
      </c>
      <c r="C241" s="185"/>
      <c r="D241" s="190"/>
      <c r="E241" s="182" t="s">
        <v>605</v>
      </c>
      <c r="F241" s="28" t="s">
        <v>215</v>
      </c>
      <c r="G241" s="58">
        <f t="shared" ref="G241:P241" si="147">G240*Conv_sqm_ha</f>
        <v>0</v>
      </c>
      <c r="H241" s="58">
        <f t="shared" si="147"/>
        <v>0</v>
      </c>
      <c r="I241" s="58">
        <f t="shared" si="147"/>
        <v>0</v>
      </c>
      <c r="J241" s="58">
        <f t="shared" si="147"/>
        <v>0</v>
      </c>
      <c r="K241" s="58">
        <f t="shared" si="147"/>
        <v>0</v>
      </c>
      <c r="L241" s="58">
        <f t="shared" si="147"/>
        <v>0</v>
      </c>
      <c r="M241" s="58">
        <f t="shared" si="147"/>
        <v>0</v>
      </c>
      <c r="N241" s="58">
        <f t="shared" si="147"/>
        <v>0</v>
      </c>
      <c r="O241" s="58">
        <f t="shared" si="147"/>
        <v>0</v>
      </c>
      <c r="P241" s="58">
        <f t="shared" si="147"/>
        <v>0</v>
      </c>
      <c r="Q241" s="397"/>
      <c r="R241" s="49"/>
    </row>
    <row r="242" spans="2:18" hidden="1">
      <c r="B242" s="94" t="s">
        <v>533</v>
      </c>
      <c r="C242" s="181" t="s">
        <v>606</v>
      </c>
      <c r="D242" s="118" t="s">
        <v>607</v>
      </c>
      <c r="E242" s="182" t="s">
        <v>608</v>
      </c>
      <c r="F242" s="28" t="s">
        <v>123</v>
      </c>
      <c r="G242" s="412" t="s">
        <v>609</v>
      </c>
      <c r="H242" s="412" t="s">
        <v>610</v>
      </c>
      <c r="I242" s="412" t="s">
        <v>611</v>
      </c>
      <c r="J242" s="412" t="s">
        <v>609</v>
      </c>
      <c r="K242" s="412" t="s">
        <v>611</v>
      </c>
      <c r="L242" s="412" t="s">
        <v>609</v>
      </c>
      <c r="M242" s="412" t="s">
        <v>611</v>
      </c>
      <c r="N242" s="412" t="s">
        <v>609</v>
      </c>
      <c r="O242" s="412" t="s">
        <v>611</v>
      </c>
      <c r="P242" s="412" t="s">
        <v>609</v>
      </c>
      <c r="Q242" s="397"/>
      <c r="R242" s="49"/>
    </row>
    <row r="243" spans="2:18" hidden="1">
      <c r="B243" s="94" t="s">
        <v>533</v>
      </c>
      <c r="C243" s="183"/>
      <c r="D243" s="189"/>
      <c r="E243" s="184" t="s">
        <v>214</v>
      </c>
      <c r="F243" s="28" t="s">
        <v>215</v>
      </c>
      <c r="G243" s="58">
        <f t="shared" ref="G243:P243" si="148">IF(G242=Earthen,0,G241)</f>
        <v>0</v>
      </c>
      <c r="H243" s="58">
        <f t="shared" si="148"/>
        <v>0</v>
      </c>
      <c r="I243" s="58">
        <f t="shared" si="148"/>
        <v>0</v>
      </c>
      <c r="J243" s="58">
        <f t="shared" si="148"/>
        <v>0</v>
      </c>
      <c r="K243" s="58">
        <f t="shared" si="148"/>
        <v>0</v>
      </c>
      <c r="L243" s="58">
        <f t="shared" si="148"/>
        <v>0</v>
      </c>
      <c r="M243" s="58">
        <f t="shared" si="148"/>
        <v>0</v>
      </c>
      <c r="N243" s="58">
        <f t="shared" si="148"/>
        <v>0</v>
      </c>
      <c r="O243" s="58">
        <f t="shared" si="148"/>
        <v>0</v>
      </c>
      <c r="P243" s="58">
        <f t="shared" si="148"/>
        <v>0</v>
      </c>
      <c r="Q243" s="397"/>
      <c r="R243" s="49"/>
    </row>
    <row r="244" spans="2:18" hidden="1">
      <c r="B244" s="94" t="s">
        <v>533</v>
      </c>
      <c r="C244" s="183"/>
      <c r="D244" s="189"/>
      <c r="E244" s="184" t="s">
        <v>612</v>
      </c>
      <c r="F244" s="28" t="s">
        <v>613</v>
      </c>
      <c r="G244" s="105">
        <f t="shared" ref="G244:I244" si="149">IF(G242=Earthen,0,Haul_roads_rock_gravel_bitumen_cover_thickness)</f>
        <v>250</v>
      </c>
      <c r="H244" s="105">
        <f t="shared" si="149"/>
        <v>0</v>
      </c>
      <c r="I244" s="105">
        <f t="shared" si="149"/>
        <v>250</v>
      </c>
      <c r="J244" s="105">
        <f t="shared" ref="J244:P244" si="150">IF(J242=Earthen,0,Haul_roads_rock_gravel_bitumen_cover_thickness)</f>
        <v>250</v>
      </c>
      <c r="K244" s="105">
        <f t="shared" si="150"/>
        <v>250</v>
      </c>
      <c r="L244" s="105">
        <f t="shared" si="150"/>
        <v>250</v>
      </c>
      <c r="M244" s="105">
        <f t="shared" si="150"/>
        <v>250</v>
      </c>
      <c r="N244" s="105">
        <f t="shared" si="150"/>
        <v>250</v>
      </c>
      <c r="O244" s="105">
        <f t="shared" si="150"/>
        <v>250</v>
      </c>
      <c r="P244" s="105">
        <f t="shared" si="150"/>
        <v>250</v>
      </c>
      <c r="Q244" s="397"/>
      <c r="R244" s="49"/>
    </row>
    <row r="245" spans="2:18" hidden="1">
      <c r="B245" s="94" t="s">
        <v>533</v>
      </c>
      <c r="C245" s="183"/>
      <c r="D245" s="189"/>
      <c r="E245" s="184" t="s">
        <v>307</v>
      </c>
      <c r="F245" s="28" t="s">
        <v>219</v>
      </c>
      <c r="G245" s="58">
        <f t="shared" ref="G245:I245" si="151">G243*G244/Conv_mm_in_metres</f>
        <v>0</v>
      </c>
      <c r="H245" s="58">
        <f t="shared" si="151"/>
        <v>0</v>
      </c>
      <c r="I245" s="58">
        <f t="shared" si="151"/>
        <v>0</v>
      </c>
      <c r="J245" s="58">
        <f t="shared" ref="J245:P245" si="152">J243*J244/Conv_mm_in_metres</f>
        <v>0</v>
      </c>
      <c r="K245" s="58">
        <f t="shared" si="152"/>
        <v>0</v>
      </c>
      <c r="L245" s="58">
        <f t="shared" si="152"/>
        <v>0</v>
      </c>
      <c r="M245" s="58">
        <f t="shared" si="152"/>
        <v>0</v>
      </c>
      <c r="N245" s="58">
        <f t="shared" si="152"/>
        <v>0</v>
      </c>
      <c r="O245" s="58">
        <f t="shared" si="152"/>
        <v>0</v>
      </c>
      <c r="P245" s="58">
        <f t="shared" si="152"/>
        <v>0</v>
      </c>
      <c r="Q245" s="397"/>
      <c r="R245" s="49"/>
    </row>
    <row r="246" spans="2:18" ht="33.75" hidden="1">
      <c r="B246" s="94" t="s">
        <v>533</v>
      </c>
      <c r="C246" s="185"/>
      <c r="D246" s="190"/>
      <c r="E246" s="184" t="s">
        <v>614</v>
      </c>
      <c r="F246" s="28" t="s">
        <v>123</v>
      </c>
      <c r="G246" s="412" t="s">
        <v>615</v>
      </c>
      <c r="H246" s="412" t="s">
        <v>239</v>
      </c>
      <c r="I246" s="412" t="s">
        <v>239</v>
      </c>
      <c r="J246" s="412" t="s">
        <v>615</v>
      </c>
      <c r="K246" s="412" t="s">
        <v>615</v>
      </c>
      <c r="L246" s="412" t="s">
        <v>615</v>
      </c>
      <c r="M246" s="412" t="s">
        <v>615</v>
      </c>
      <c r="N246" s="412" t="s">
        <v>615</v>
      </c>
      <c r="O246" s="412" t="s">
        <v>615</v>
      </c>
      <c r="P246" s="412" t="s">
        <v>615</v>
      </c>
      <c r="Q246" s="397"/>
      <c r="R246" s="49"/>
    </row>
    <row r="247" spans="2:18" hidden="1">
      <c r="B247" s="94" t="s">
        <v>533</v>
      </c>
      <c r="C247" s="181" t="s">
        <v>616</v>
      </c>
      <c r="D247" s="118" t="s">
        <v>617</v>
      </c>
      <c r="E247" s="176" t="s">
        <v>204</v>
      </c>
      <c r="F247" s="28" t="s">
        <v>241</v>
      </c>
      <c r="G247" s="54">
        <f t="shared" ref="G247:I247" si="153">IF(G244=0,0,_xlfn.XLOOKUP(G246,Load_haul_fill_names_CS,Load_haul_fill_rates_CS))</f>
        <v>6.1704247018493934</v>
      </c>
      <c r="H247" s="54">
        <f t="shared" si="153"/>
        <v>0</v>
      </c>
      <c r="I247" s="54">
        <f t="shared" si="153"/>
        <v>7.5000815645944918</v>
      </c>
      <c r="J247" s="54">
        <f t="shared" ref="J247:P247" si="154">IF(J244=0,0,_xlfn.XLOOKUP(J246,Load_haul_fill_names_CS,Load_haul_fill_rates_CS))</f>
        <v>6.1704247018493934</v>
      </c>
      <c r="K247" s="54">
        <f t="shared" si="154"/>
        <v>6.1704247018493934</v>
      </c>
      <c r="L247" s="54">
        <f t="shared" si="154"/>
        <v>6.1704247018493934</v>
      </c>
      <c r="M247" s="54">
        <f t="shared" si="154"/>
        <v>6.1704247018493934</v>
      </c>
      <c r="N247" s="54">
        <f t="shared" si="154"/>
        <v>6.1704247018493934</v>
      </c>
      <c r="O247" s="54">
        <f t="shared" si="154"/>
        <v>6.1704247018493934</v>
      </c>
      <c r="P247" s="54">
        <f t="shared" si="154"/>
        <v>6.1704247018493934</v>
      </c>
      <c r="Q247" s="397"/>
      <c r="R247" s="49"/>
    </row>
    <row r="248" spans="2:18" hidden="1">
      <c r="B248" s="94" t="s">
        <v>533</v>
      </c>
      <c r="C248" s="183"/>
      <c r="D248" s="189"/>
      <c r="E248" s="176" t="s">
        <v>206</v>
      </c>
      <c r="F248" s="28" t="s">
        <v>241</v>
      </c>
      <c r="G248" s="414"/>
      <c r="H248" s="414"/>
      <c r="I248" s="414"/>
      <c r="J248" s="414"/>
      <c r="K248" s="414"/>
      <c r="L248" s="414"/>
      <c r="M248" s="414"/>
      <c r="N248" s="414"/>
      <c r="O248" s="414"/>
      <c r="P248" s="414"/>
      <c r="Q248" s="397"/>
      <c r="R248" s="49"/>
    </row>
    <row r="249" spans="2:18" hidden="1">
      <c r="B249" s="94" t="s">
        <v>533</v>
      </c>
      <c r="C249" s="185"/>
      <c r="D249" s="190"/>
      <c r="E249" s="176" t="s">
        <v>146</v>
      </c>
      <c r="F249" s="28" t="s">
        <v>207</v>
      </c>
      <c r="G249" s="132">
        <f>IF(G248="",G247,G248)*G245</f>
        <v>0</v>
      </c>
      <c r="H249" s="132">
        <f t="shared" ref="H249:P249" si="155">IF(H248="",H247,H248)*H245</f>
        <v>0</v>
      </c>
      <c r="I249" s="132">
        <f t="shared" si="155"/>
        <v>0</v>
      </c>
      <c r="J249" s="132">
        <f t="shared" si="155"/>
        <v>0</v>
      </c>
      <c r="K249" s="132">
        <f t="shared" si="155"/>
        <v>0</v>
      </c>
      <c r="L249" s="132">
        <f t="shared" si="155"/>
        <v>0</v>
      </c>
      <c r="M249" s="132">
        <f t="shared" si="155"/>
        <v>0</v>
      </c>
      <c r="N249" s="132">
        <f t="shared" si="155"/>
        <v>0</v>
      </c>
      <c r="O249" s="132">
        <f t="shared" si="155"/>
        <v>0</v>
      </c>
      <c r="P249" s="132">
        <f t="shared" si="155"/>
        <v>0</v>
      </c>
      <c r="Q249" s="397"/>
      <c r="R249" s="49"/>
    </row>
    <row r="250" spans="2:18" hidden="1">
      <c r="B250" s="94" t="s">
        <v>533</v>
      </c>
      <c r="C250" s="181" t="s">
        <v>618</v>
      </c>
      <c r="D250" s="118" t="s">
        <v>617</v>
      </c>
      <c r="E250" s="184" t="s">
        <v>619</v>
      </c>
      <c r="F250" s="28" t="s">
        <v>123</v>
      </c>
      <c r="G250" s="412" t="s">
        <v>620</v>
      </c>
      <c r="H250" s="412" t="s">
        <v>621</v>
      </c>
      <c r="I250" s="412" t="s">
        <v>621</v>
      </c>
      <c r="J250" s="412" t="s">
        <v>621</v>
      </c>
      <c r="K250" s="412" t="s">
        <v>621</v>
      </c>
      <c r="L250" s="412" t="s">
        <v>621</v>
      </c>
      <c r="M250" s="412" t="s">
        <v>621</v>
      </c>
      <c r="N250" s="412" t="s">
        <v>621</v>
      </c>
      <c r="O250" s="412" t="s">
        <v>621</v>
      </c>
      <c r="P250" s="412" t="s">
        <v>621</v>
      </c>
      <c r="Q250" s="459"/>
      <c r="R250" s="49"/>
    </row>
    <row r="251" spans="2:18" hidden="1">
      <c r="B251" s="94" t="s">
        <v>533</v>
      </c>
      <c r="C251" s="183"/>
      <c r="D251" s="189"/>
      <c r="E251" s="176" t="s">
        <v>204</v>
      </c>
      <c r="F251" s="28" t="s">
        <v>329</v>
      </c>
      <c r="G251" s="54">
        <f t="shared" ref="G251:I251" si="156">_xlfn.XLOOKUP(G250,Grader_rip_names_CS,Grader_rip_rates_CS)</f>
        <v>359.20919999999995</v>
      </c>
      <c r="H251" s="54">
        <f t="shared" si="156"/>
        <v>280.88279999999992</v>
      </c>
      <c r="I251" s="54">
        <f t="shared" si="156"/>
        <v>280.88279999999992</v>
      </c>
      <c r="J251" s="54">
        <f t="shared" ref="J251:P251" si="157">_xlfn.XLOOKUP(J250,Grader_rip_names_CS,Grader_rip_rates_CS)</f>
        <v>280.88279999999992</v>
      </c>
      <c r="K251" s="54">
        <f t="shared" si="157"/>
        <v>280.88279999999992</v>
      </c>
      <c r="L251" s="54">
        <f t="shared" si="157"/>
        <v>280.88279999999992</v>
      </c>
      <c r="M251" s="54">
        <f t="shared" si="157"/>
        <v>280.88279999999992</v>
      </c>
      <c r="N251" s="54">
        <f t="shared" si="157"/>
        <v>280.88279999999992</v>
      </c>
      <c r="O251" s="54">
        <f t="shared" si="157"/>
        <v>280.88279999999992</v>
      </c>
      <c r="P251" s="54">
        <f t="shared" si="157"/>
        <v>280.88279999999992</v>
      </c>
      <c r="Q251" s="397"/>
      <c r="R251" s="49"/>
    </row>
    <row r="252" spans="2:18" hidden="1">
      <c r="B252" s="94" t="s">
        <v>533</v>
      </c>
      <c r="C252" s="183"/>
      <c r="D252" s="189"/>
      <c r="E252" s="176" t="s">
        <v>206</v>
      </c>
      <c r="F252" s="28" t="s">
        <v>329</v>
      </c>
      <c r="G252" s="414"/>
      <c r="H252" s="414"/>
      <c r="I252" s="414"/>
      <c r="J252" s="414"/>
      <c r="K252" s="414"/>
      <c r="L252" s="414"/>
      <c r="M252" s="414"/>
      <c r="N252" s="414"/>
      <c r="O252" s="414"/>
      <c r="P252" s="414"/>
      <c r="Q252" s="397"/>
      <c r="R252" s="49"/>
    </row>
    <row r="253" spans="2:18" hidden="1">
      <c r="B253" s="94" t="s">
        <v>533</v>
      </c>
      <c r="C253" s="185"/>
      <c r="D253" s="190"/>
      <c r="E253" s="176" t="s">
        <v>146</v>
      </c>
      <c r="F253" s="28" t="s">
        <v>207</v>
      </c>
      <c r="G253" s="79">
        <f t="shared" ref="G253:P253" si="158">G240*IF(G252="",G251,G252)</f>
        <v>0</v>
      </c>
      <c r="H253" s="79">
        <f t="shared" si="158"/>
        <v>0</v>
      </c>
      <c r="I253" s="79">
        <f t="shared" si="158"/>
        <v>0</v>
      </c>
      <c r="J253" s="79">
        <f t="shared" si="158"/>
        <v>0</v>
      </c>
      <c r="K253" s="79">
        <f t="shared" si="158"/>
        <v>0</v>
      </c>
      <c r="L253" s="79">
        <f t="shared" si="158"/>
        <v>0</v>
      </c>
      <c r="M253" s="79">
        <f t="shared" si="158"/>
        <v>0</v>
      </c>
      <c r="N253" s="79">
        <f t="shared" si="158"/>
        <v>0</v>
      </c>
      <c r="O253" s="79">
        <f t="shared" si="158"/>
        <v>0</v>
      </c>
      <c r="P253" s="79">
        <f t="shared" si="158"/>
        <v>0</v>
      </c>
      <c r="Q253" s="397"/>
      <c r="R253" s="49"/>
    </row>
    <row r="254" spans="2:18" hidden="1">
      <c r="B254" s="94" t="s">
        <v>533</v>
      </c>
      <c r="C254" s="181" t="s">
        <v>622</v>
      </c>
      <c r="D254" s="118" t="s">
        <v>617</v>
      </c>
      <c r="E254" s="176" t="s">
        <v>623</v>
      </c>
      <c r="F254" s="28" t="s">
        <v>299</v>
      </c>
      <c r="G254" s="70">
        <f>G240</f>
        <v>0</v>
      </c>
      <c r="H254" s="70">
        <f t="shared" ref="H254:P254" si="159">H240</f>
        <v>0</v>
      </c>
      <c r="I254" s="70">
        <f t="shared" si="159"/>
        <v>0</v>
      </c>
      <c r="J254" s="70">
        <f t="shared" si="159"/>
        <v>0</v>
      </c>
      <c r="K254" s="70">
        <f t="shared" si="159"/>
        <v>0</v>
      </c>
      <c r="L254" s="70">
        <f t="shared" si="159"/>
        <v>0</v>
      </c>
      <c r="M254" s="70">
        <f t="shared" si="159"/>
        <v>0</v>
      </c>
      <c r="N254" s="70">
        <f t="shared" si="159"/>
        <v>0</v>
      </c>
      <c r="O254" s="70">
        <f t="shared" si="159"/>
        <v>0</v>
      </c>
      <c r="P254" s="70">
        <f t="shared" si="159"/>
        <v>0</v>
      </c>
      <c r="Q254" s="397"/>
      <c r="R254" s="49"/>
    </row>
    <row r="255" spans="2:18" hidden="1">
      <c r="B255" s="94" t="s">
        <v>533</v>
      </c>
      <c r="C255" s="183"/>
      <c r="D255" s="189"/>
      <c r="E255" s="176" t="s">
        <v>624</v>
      </c>
      <c r="F255" s="28" t="s">
        <v>299</v>
      </c>
      <c r="G255" s="470"/>
      <c r="H255" s="470">
        <v>0</v>
      </c>
      <c r="I255" s="470">
        <v>0</v>
      </c>
      <c r="J255" s="470">
        <v>0</v>
      </c>
      <c r="K255" s="470">
        <v>0</v>
      </c>
      <c r="L255" s="470">
        <v>0</v>
      </c>
      <c r="M255" s="470">
        <v>0</v>
      </c>
      <c r="N255" s="470">
        <v>0</v>
      </c>
      <c r="O255" s="470">
        <v>0</v>
      </c>
      <c r="P255" s="470">
        <v>0</v>
      </c>
      <c r="Q255" s="397"/>
      <c r="R255" s="49"/>
    </row>
    <row r="256" spans="2:18" hidden="1">
      <c r="B256" s="94" t="s">
        <v>533</v>
      </c>
      <c r="C256" s="183"/>
      <c r="D256" s="189"/>
      <c r="E256" s="176" t="s">
        <v>625</v>
      </c>
      <c r="F256" s="28" t="s">
        <v>299</v>
      </c>
      <c r="G256" s="70">
        <f>IF(G255="",G254,G255)</f>
        <v>0</v>
      </c>
      <c r="H256" s="70">
        <f t="shared" ref="H256:I256" si="160">IF(H255="",H254,H255)</f>
        <v>0</v>
      </c>
      <c r="I256" s="70">
        <f t="shared" si="160"/>
        <v>0</v>
      </c>
      <c r="J256" s="70">
        <f>IF(J255="",J254,J255)</f>
        <v>0</v>
      </c>
      <c r="K256" s="70">
        <f t="shared" ref="K256:L256" si="161">IF(K255="",K254,K255)</f>
        <v>0</v>
      </c>
      <c r="L256" s="70">
        <f t="shared" si="161"/>
        <v>0</v>
      </c>
      <c r="M256" s="70">
        <f t="shared" ref="M256:P256" si="162">IF(M255="",M254,M255)</f>
        <v>0</v>
      </c>
      <c r="N256" s="70">
        <f t="shared" si="162"/>
        <v>0</v>
      </c>
      <c r="O256" s="70">
        <f t="shared" si="162"/>
        <v>0</v>
      </c>
      <c r="P256" s="70">
        <f t="shared" si="162"/>
        <v>0</v>
      </c>
      <c r="Q256" s="397"/>
      <c r="R256" s="49"/>
    </row>
    <row r="257" spans="2:18" hidden="1">
      <c r="B257" s="94" t="s">
        <v>533</v>
      </c>
      <c r="C257" s="183"/>
      <c r="D257" s="189"/>
      <c r="E257" s="176" t="s">
        <v>626</v>
      </c>
      <c r="F257" s="28" t="s">
        <v>123</v>
      </c>
      <c r="G257" s="412" t="s">
        <v>627</v>
      </c>
      <c r="H257" s="412" t="s">
        <v>627</v>
      </c>
      <c r="I257" s="412" t="s">
        <v>627</v>
      </c>
      <c r="J257" s="412" t="s">
        <v>627</v>
      </c>
      <c r="K257" s="412" t="s">
        <v>627</v>
      </c>
      <c r="L257" s="412" t="s">
        <v>627</v>
      </c>
      <c r="M257" s="412" t="s">
        <v>627</v>
      </c>
      <c r="N257" s="412" t="s">
        <v>627</v>
      </c>
      <c r="O257" s="412" t="s">
        <v>627</v>
      </c>
      <c r="P257" s="412" t="s">
        <v>627</v>
      </c>
      <c r="Q257" s="397"/>
      <c r="R257" s="49"/>
    </row>
    <row r="258" spans="2:18" hidden="1">
      <c r="B258" s="94" t="s">
        <v>533</v>
      </c>
      <c r="C258" s="183"/>
      <c r="D258" s="189"/>
      <c r="E258" s="176" t="s">
        <v>204</v>
      </c>
      <c r="F258" s="28" t="s">
        <v>329</v>
      </c>
      <c r="G258" s="54">
        <f t="shared" ref="G258:P258" si="163">_xlfn.XLOOKUP(G257,Dozer_rip_names_CS,Dozer_rip_rates_CS)</f>
        <v>707.60769231635197</v>
      </c>
      <c r="H258" s="54">
        <f t="shared" si="163"/>
        <v>707.60769231635197</v>
      </c>
      <c r="I258" s="54">
        <f t="shared" si="163"/>
        <v>707.60769231635197</v>
      </c>
      <c r="J258" s="54">
        <f t="shared" si="163"/>
        <v>707.60769231635197</v>
      </c>
      <c r="K258" s="54">
        <f t="shared" si="163"/>
        <v>707.60769231635197</v>
      </c>
      <c r="L258" s="54">
        <f t="shared" si="163"/>
        <v>707.60769231635197</v>
      </c>
      <c r="M258" s="54">
        <f t="shared" si="163"/>
        <v>707.60769231635197</v>
      </c>
      <c r="N258" s="54">
        <f t="shared" si="163"/>
        <v>707.60769231635197</v>
      </c>
      <c r="O258" s="54">
        <f t="shared" si="163"/>
        <v>707.60769231635197</v>
      </c>
      <c r="P258" s="54">
        <f t="shared" si="163"/>
        <v>707.60769231635197</v>
      </c>
      <c r="Q258" s="397"/>
      <c r="R258" s="49"/>
    </row>
    <row r="259" spans="2:18" hidden="1">
      <c r="B259" s="94" t="s">
        <v>533</v>
      </c>
      <c r="C259" s="183"/>
      <c r="D259" s="189"/>
      <c r="E259" s="176" t="s">
        <v>206</v>
      </c>
      <c r="F259" s="28" t="s">
        <v>329</v>
      </c>
      <c r="G259" s="414"/>
      <c r="H259" s="414"/>
      <c r="I259" s="414"/>
      <c r="J259" s="414"/>
      <c r="K259" s="414"/>
      <c r="L259" s="414"/>
      <c r="M259" s="414"/>
      <c r="N259" s="414"/>
      <c r="O259" s="414"/>
      <c r="P259" s="414"/>
      <c r="Q259" s="397"/>
      <c r="R259" s="49"/>
    </row>
    <row r="260" spans="2:18" hidden="1">
      <c r="B260" s="94" t="s">
        <v>533</v>
      </c>
      <c r="C260" s="185"/>
      <c r="D260" s="190"/>
      <c r="E260" s="176" t="s">
        <v>146</v>
      </c>
      <c r="F260" s="28" t="s">
        <v>207</v>
      </c>
      <c r="G260" s="79">
        <f t="shared" ref="G260:I260" si="164">IF(G259="",G258,G259)*G256</f>
        <v>0</v>
      </c>
      <c r="H260" s="79">
        <f t="shared" si="164"/>
        <v>0</v>
      </c>
      <c r="I260" s="79">
        <f t="shared" si="164"/>
        <v>0</v>
      </c>
      <c r="J260" s="79">
        <f t="shared" ref="J260:P260" si="165">IF(J259="",J258,J259)*J256</f>
        <v>0</v>
      </c>
      <c r="K260" s="79">
        <f t="shared" si="165"/>
        <v>0</v>
      </c>
      <c r="L260" s="79">
        <f t="shared" si="165"/>
        <v>0</v>
      </c>
      <c r="M260" s="79">
        <f t="shared" si="165"/>
        <v>0</v>
      </c>
      <c r="N260" s="79">
        <f t="shared" si="165"/>
        <v>0</v>
      </c>
      <c r="O260" s="79">
        <f t="shared" si="165"/>
        <v>0</v>
      </c>
      <c r="P260" s="79">
        <f t="shared" si="165"/>
        <v>0</v>
      </c>
      <c r="Q260" s="397"/>
      <c r="R260" s="49"/>
    </row>
    <row r="261" spans="2:18" hidden="1">
      <c r="B261" s="94" t="s">
        <v>533</v>
      </c>
      <c r="C261" s="181" t="s">
        <v>628</v>
      </c>
      <c r="D261" s="118" t="s">
        <v>617</v>
      </c>
      <c r="E261" s="176" t="s">
        <v>623</v>
      </c>
      <c r="F261" s="28" t="s">
        <v>299</v>
      </c>
      <c r="G261" s="70">
        <f t="shared" ref="G261:P261" si="166">G240</f>
        <v>0</v>
      </c>
      <c r="H261" s="70">
        <f t="shared" si="166"/>
        <v>0</v>
      </c>
      <c r="I261" s="70">
        <f t="shared" si="166"/>
        <v>0</v>
      </c>
      <c r="J261" s="70">
        <f t="shared" si="166"/>
        <v>0</v>
      </c>
      <c r="K261" s="70">
        <f t="shared" si="166"/>
        <v>0</v>
      </c>
      <c r="L261" s="70">
        <f t="shared" si="166"/>
        <v>0</v>
      </c>
      <c r="M261" s="70">
        <f t="shared" si="166"/>
        <v>0</v>
      </c>
      <c r="N261" s="70">
        <f t="shared" si="166"/>
        <v>0</v>
      </c>
      <c r="O261" s="70">
        <f t="shared" si="166"/>
        <v>0</v>
      </c>
      <c r="P261" s="70">
        <f t="shared" si="166"/>
        <v>0</v>
      </c>
      <c r="Q261" s="397"/>
      <c r="R261" s="49"/>
    </row>
    <row r="262" spans="2:18" hidden="1">
      <c r="B262" s="94" t="s">
        <v>533</v>
      </c>
      <c r="C262" s="183"/>
      <c r="D262" s="189"/>
      <c r="E262" s="176" t="s">
        <v>624</v>
      </c>
      <c r="F262" s="28" t="s">
        <v>299</v>
      </c>
      <c r="G262" s="470"/>
      <c r="H262" s="470"/>
      <c r="I262" s="470"/>
      <c r="J262" s="470"/>
      <c r="K262" s="470"/>
      <c r="L262" s="470"/>
      <c r="M262" s="470"/>
      <c r="N262" s="470"/>
      <c r="O262" s="470"/>
      <c r="P262" s="470"/>
      <c r="Q262" s="397"/>
      <c r="R262" s="49"/>
    </row>
    <row r="263" spans="2:18" hidden="1">
      <c r="B263" s="94" t="s">
        <v>533</v>
      </c>
      <c r="C263" s="183"/>
      <c r="D263" s="189"/>
      <c r="E263" s="176" t="s">
        <v>625</v>
      </c>
      <c r="F263" s="28" t="s">
        <v>299</v>
      </c>
      <c r="G263" s="70">
        <f t="shared" ref="G263:I263" si="167">IF(G262="",G261,G262)</f>
        <v>0</v>
      </c>
      <c r="H263" s="70">
        <f t="shared" si="167"/>
        <v>0</v>
      </c>
      <c r="I263" s="70">
        <f t="shared" si="167"/>
        <v>0</v>
      </c>
      <c r="J263" s="70">
        <f t="shared" ref="J263:P263" si="168">IF(J262="",J261,J262)</f>
        <v>0</v>
      </c>
      <c r="K263" s="70">
        <f t="shared" si="168"/>
        <v>0</v>
      </c>
      <c r="L263" s="70">
        <f t="shared" si="168"/>
        <v>0</v>
      </c>
      <c r="M263" s="70">
        <f t="shared" si="168"/>
        <v>0</v>
      </c>
      <c r="N263" s="70">
        <f t="shared" si="168"/>
        <v>0</v>
      </c>
      <c r="O263" s="70">
        <f t="shared" si="168"/>
        <v>0</v>
      </c>
      <c r="P263" s="70">
        <f t="shared" si="168"/>
        <v>0</v>
      </c>
      <c r="Q263" s="397"/>
      <c r="R263" s="49"/>
    </row>
    <row r="264" spans="2:18" hidden="1">
      <c r="B264" s="94" t="s">
        <v>533</v>
      </c>
      <c r="C264" s="183"/>
      <c r="D264" s="189"/>
      <c r="E264" s="176" t="s">
        <v>626</v>
      </c>
      <c r="F264" s="28" t="s">
        <v>123</v>
      </c>
      <c r="G264" s="412" t="s">
        <v>620</v>
      </c>
      <c r="H264" s="412" t="s">
        <v>621</v>
      </c>
      <c r="I264" s="412" t="s">
        <v>621</v>
      </c>
      <c r="J264" s="412" t="s">
        <v>621</v>
      </c>
      <c r="K264" s="412" t="s">
        <v>621</v>
      </c>
      <c r="L264" s="412" t="s">
        <v>621</v>
      </c>
      <c r="M264" s="412" t="s">
        <v>621</v>
      </c>
      <c r="N264" s="412" t="s">
        <v>621</v>
      </c>
      <c r="O264" s="412" t="s">
        <v>621</v>
      </c>
      <c r="P264" s="412" t="s">
        <v>621</v>
      </c>
      <c r="Q264" s="397"/>
      <c r="R264" s="49"/>
    </row>
    <row r="265" spans="2:18" hidden="1">
      <c r="B265" s="94" t="s">
        <v>533</v>
      </c>
      <c r="C265" s="183"/>
      <c r="D265" s="189"/>
      <c r="E265" s="176" t="s">
        <v>204</v>
      </c>
      <c r="F265" s="28" t="s">
        <v>329</v>
      </c>
      <c r="G265" s="54">
        <f t="shared" ref="G265:I265" si="169">_xlfn.XLOOKUP(G264,Grader_trim_names_CS,Grader_trim_rates_CS)</f>
        <v>247.05882352941177</v>
      </c>
      <c r="H265" s="54">
        <f t="shared" si="169"/>
        <v>241.70290684367134</v>
      </c>
      <c r="I265" s="54">
        <f t="shared" si="169"/>
        <v>241.70290684367134</v>
      </c>
      <c r="J265" s="54">
        <f t="shared" ref="J265:P265" si="170">_xlfn.XLOOKUP(J264,Grader_trim_names_CS,Grader_trim_rates_CS)</f>
        <v>241.70290684367134</v>
      </c>
      <c r="K265" s="54">
        <f t="shared" si="170"/>
        <v>241.70290684367134</v>
      </c>
      <c r="L265" s="54">
        <f t="shared" si="170"/>
        <v>241.70290684367134</v>
      </c>
      <c r="M265" s="54">
        <f t="shared" si="170"/>
        <v>241.70290684367134</v>
      </c>
      <c r="N265" s="54">
        <f t="shared" si="170"/>
        <v>241.70290684367134</v>
      </c>
      <c r="O265" s="54">
        <f t="shared" si="170"/>
        <v>241.70290684367134</v>
      </c>
      <c r="P265" s="54">
        <f t="shared" si="170"/>
        <v>241.70290684367134</v>
      </c>
      <c r="Q265" s="397"/>
      <c r="R265" s="49"/>
    </row>
    <row r="266" spans="2:18" hidden="1">
      <c r="B266" s="94" t="s">
        <v>533</v>
      </c>
      <c r="C266" s="183"/>
      <c r="D266" s="189"/>
      <c r="E266" s="176" t="s">
        <v>206</v>
      </c>
      <c r="F266" s="28" t="s">
        <v>329</v>
      </c>
      <c r="G266" s="414"/>
      <c r="H266" s="414"/>
      <c r="I266" s="414"/>
      <c r="J266" s="414"/>
      <c r="K266" s="414"/>
      <c r="L266" s="414"/>
      <c r="M266" s="414"/>
      <c r="N266" s="414"/>
      <c r="O266" s="414"/>
      <c r="P266" s="414"/>
      <c r="Q266" s="397"/>
      <c r="R266" s="49"/>
    </row>
    <row r="267" spans="2:18" hidden="1">
      <c r="B267" s="94" t="s">
        <v>533</v>
      </c>
      <c r="C267" s="185"/>
      <c r="D267" s="190"/>
      <c r="E267" s="176" t="s">
        <v>146</v>
      </c>
      <c r="F267" s="28" t="s">
        <v>207</v>
      </c>
      <c r="G267" s="79">
        <f t="shared" ref="G267:I267" si="171">IF(G266="",G265,G266)*G263</f>
        <v>0</v>
      </c>
      <c r="H267" s="79">
        <f t="shared" si="171"/>
        <v>0</v>
      </c>
      <c r="I267" s="79">
        <f t="shared" si="171"/>
        <v>0</v>
      </c>
      <c r="J267" s="79">
        <f t="shared" ref="J267:P267" si="172">IF(J266="",J265,J266)*J263</f>
        <v>0</v>
      </c>
      <c r="K267" s="79">
        <f t="shared" si="172"/>
        <v>0</v>
      </c>
      <c r="L267" s="79">
        <f t="shared" si="172"/>
        <v>0</v>
      </c>
      <c r="M267" s="79">
        <f t="shared" si="172"/>
        <v>0</v>
      </c>
      <c r="N267" s="79">
        <f t="shared" si="172"/>
        <v>0</v>
      </c>
      <c r="O267" s="79">
        <f t="shared" si="172"/>
        <v>0</v>
      </c>
      <c r="P267" s="79">
        <f t="shared" si="172"/>
        <v>0</v>
      </c>
      <c r="Q267" s="397"/>
      <c r="R267" s="49"/>
    </row>
    <row r="268" spans="2:18" hidden="1">
      <c r="B268" s="94" t="s">
        <v>533</v>
      </c>
      <c r="C268" s="917" t="s">
        <v>629</v>
      </c>
      <c r="D268" s="918"/>
      <c r="E268" s="218"/>
      <c r="F268" s="107" t="s">
        <v>630</v>
      </c>
      <c r="G268" s="108">
        <f t="shared" ref="G268" si="173">G249+G253+G260+G267</f>
        <v>0</v>
      </c>
      <c r="H268" s="108">
        <f t="shared" ref="H268" si="174">H249+H253+H260+H267</f>
        <v>0</v>
      </c>
      <c r="I268" s="108">
        <f t="shared" ref="I268" si="175">I249+I253+I260+I267</f>
        <v>0</v>
      </c>
      <c r="J268" s="108">
        <f t="shared" ref="J268:P268" si="176">J249+J253+J260+J267</f>
        <v>0</v>
      </c>
      <c r="K268" s="108">
        <f t="shared" si="176"/>
        <v>0</v>
      </c>
      <c r="L268" s="108">
        <f t="shared" si="176"/>
        <v>0</v>
      </c>
      <c r="M268" s="108">
        <f t="shared" si="176"/>
        <v>0</v>
      </c>
      <c r="N268" s="108">
        <f t="shared" si="176"/>
        <v>0</v>
      </c>
      <c r="O268" s="108">
        <f t="shared" si="176"/>
        <v>0</v>
      </c>
      <c r="P268" s="108">
        <f t="shared" si="176"/>
        <v>0</v>
      </c>
      <c r="Q268" s="397"/>
      <c r="R268" s="49"/>
    </row>
    <row r="269" spans="2:18" hidden="1">
      <c r="B269" s="94" t="s">
        <v>533</v>
      </c>
      <c r="C269" s="919"/>
      <c r="D269" s="920"/>
      <c r="E269" s="218"/>
      <c r="F269" s="107" t="s">
        <v>329</v>
      </c>
      <c r="G269" s="108">
        <f t="shared" ref="G269:P269" si="177">IF(G$240=0,0,G$268/G$240)</f>
        <v>0</v>
      </c>
      <c r="H269" s="108">
        <f t="shared" si="177"/>
        <v>0</v>
      </c>
      <c r="I269" s="108">
        <f t="shared" si="177"/>
        <v>0</v>
      </c>
      <c r="J269" s="108">
        <f t="shared" si="177"/>
        <v>0</v>
      </c>
      <c r="K269" s="108">
        <f t="shared" si="177"/>
        <v>0</v>
      </c>
      <c r="L269" s="108">
        <f t="shared" si="177"/>
        <v>0</v>
      </c>
      <c r="M269" s="108">
        <f t="shared" si="177"/>
        <v>0</v>
      </c>
      <c r="N269" s="108">
        <f t="shared" si="177"/>
        <v>0</v>
      </c>
      <c r="O269" s="108">
        <f t="shared" si="177"/>
        <v>0</v>
      </c>
      <c r="P269" s="108">
        <f t="shared" si="177"/>
        <v>0</v>
      </c>
      <c r="Q269" s="397"/>
      <c r="R269" s="49"/>
    </row>
    <row r="270" spans="2:18" hidden="1">
      <c r="B270" s="94" t="s">
        <v>533</v>
      </c>
      <c r="C270" s="188"/>
      <c r="D270" s="188"/>
      <c r="E270" s="205" t="str">
        <f>C240</f>
        <v>Haul Road (user build)</v>
      </c>
      <c r="F270" s="62" t="s">
        <v>413</v>
      </c>
      <c r="G270" s="80">
        <f>G268</f>
        <v>0</v>
      </c>
      <c r="H270" s="80">
        <f t="shared" ref="H270:P270" si="178">H268</f>
        <v>0</v>
      </c>
      <c r="I270" s="80">
        <f t="shared" si="178"/>
        <v>0</v>
      </c>
      <c r="J270" s="80">
        <f t="shared" si="178"/>
        <v>0</v>
      </c>
      <c r="K270" s="80">
        <f t="shared" si="178"/>
        <v>0</v>
      </c>
      <c r="L270" s="80">
        <f t="shared" si="178"/>
        <v>0</v>
      </c>
      <c r="M270" s="80">
        <f t="shared" si="178"/>
        <v>0</v>
      </c>
      <c r="N270" s="80">
        <f t="shared" si="178"/>
        <v>0</v>
      </c>
      <c r="O270" s="80">
        <f t="shared" si="178"/>
        <v>0</v>
      </c>
      <c r="P270" s="80">
        <f t="shared" si="178"/>
        <v>0</v>
      </c>
      <c r="Q270" s="397"/>
      <c r="R270" s="49"/>
    </row>
    <row r="271" spans="2:18" hidden="1">
      <c r="B271" s="94" t="s">
        <v>533</v>
      </c>
      <c r="C271" s="229" t="s">
        <v>631</v>
      </c>
      <c r="D271" s="184" t="s">
        <v>604</v>
      </c>
      <c r="E271" s="182" t="s">
        <v>605</v>
      </c>
      <c r="F271" s="28" t="s">
        <v>299</v>
      </c>
      <c r="G271" s="411"/>
      <c r="H271" s="411"/>
      <c r="I271" s="411"/>
      <c r="J271" s="411"/>
      <c r="K271" s="411"/>
      <c r="L271" s="411"/>
      <c r="M271" s="411"/>
      <c r="N271" s="411"/>
      <c r="O271" s="411"/>
      <c r="P271" s="411"/>
      <c r="Q271" s="397"/>
      <c r="R271" s="49"/>
    </row>
    <row r="272" spans="2:18" hidden="1">
      <c r="B272" s="94" t="s">
        <v>533</v>
      </c>
      <c r="C272" s="181" t="s">
        <v>606</v>
      </c>
      <c r="D272" s="118" t="s">
        <v>632</v>
      </c>
      <c r="E272" s="184" t="s">
        <v>214</v>
      </c>
      <c r="F272" s="28" t="s">
        <v>215</v>
      </c>
      <c r="G272" s="58">
        <f t="shared" ref="G272:P272" si="179">G271*Conv_sqm_ha</f>
        <v>0</v>
      </c>
      <c r="H272" s="58">
        <f t="shared" si="179"/>
        <v>0</v>
      </c>
      <c r="I272" s="58">
        <f t="shared" si="179"/>
        <v>0</v>
      </c>
      <c r="J272" s="58">
        <f t="shared" si="179"/>
        <v>0</v>
      </c>
      <c r="K272" s="58">
        <f t="shared" si="179"/>
        <v>0</v>
      </c>
      <c r="L272" s="58">
        <f t="shared" si="179"/>
        <v>0</v>
      </c>
      <c r="M272" s="58">
        <f t="shared" si="179"/>
        <v>0</v>
      </c>
      <c r="N272" s="58">
        <f t="shared" si="179"/>
        <v>0</v>
      </c>
      <c r="O272" s="58">
        <f t="shared" si="179"/>
        <v>0</v>
      </c>
      <c r="P272" s="58">
        <f t="shared" si="179"/>
        <v>0</v>
      </c>
      <c r="Q272" s="397"/>
      <c r="R272" s="49"/>
    </row>
    <row r="273" spans="2:18" hidden="1">
      <c r="B273" s="94" t="s">
        <v>533</v>
      </c>
      <c r="C273" s="183"/>
      <c r="D273" s="189"/>
      <c r="E273" s="182" t="s">
        <v>608</v>
      </c>
      <c r="F273" s="28" t="s">
        <v>123</v>
      </c>
      <c r="G273" s="412" t="s">
        <v>610</v>
      </c>
      <c r="H273" s="412" t="s">
        <v>611</v>
      </c>
      <c r="I273" s="412" t="s">
        <v>609</v>
      </c>
      <c r="J273" s="412" t="s">
        <v>633</v>
      </c>
      <c r="K273" s="412" t="s">
        <v>611</v>
      </c>
      <c r="L273" s="412" t="s">
        <v>609</v>
      </c>
      <c r="M273" s="412" t="s">
        <v>611</v>
      </c>
      <c r="N273" s="412" t="s">
        <v>609</v>
      </c>
      <c r="O273" s="412" t="s">
        <v>611</v>
      </c>
      <c r="P273" s="412" t="s">
        <v>609</v>
      </c>
      <c r="Q273" s="397"/>
      <c r="R273" s="49"/>
    </row>
    <row r="274" spans="2:18" hidden="1">
      <c r="B274" s="94" t="s">
        <v>533</v>
      </c>
      <c r="C274" s="183"/>
      <c r="D274" s="189"/>
      <c r="E274" s="184" t="s">
        <v>612</v>
      </c>
      <c r="F274" s="28" t="s">
        <v>613</v>
      </c>
      <c r="G274" s="105">
        <f t="shared" ref="G274:P274" si="180">IF(G273=Earthen,0,Track_rock_gravel_bitumen_cover_thickness)</f>
        <v>0</v>
      </c>
      <c r="H274" s="105">
        <f t="shared" si="180"/>
        <v>150</v>
      </c>
      <c r="I274" s="105">
        <f t="shared" si="180"/>
        <v>150</v>
      </c>
      <c r="J274" s="105">
        <f t="shared" si="180"/>
        <v>150</v>
      </c>
      <c r="K274" s="105">
        <f t="shared" si="180"/>
        <v>150</v>
      </c>
      <c r="L274" s="105">
        <f t="shared" si="180"/>
        <v>150</v>
      </c>
      <c r="M274" s="105">
        <f t="shared" si="180"/>
        <v>150</v>
      </c>
      <c r="N274" s="105">
        <f t="shared" si="180"/>
        <v>150</v>
      </c>
      <c r="O274" s="105">
        <f t="shared" si="180"/>
        <v>150</v>
      </c>
      <c r="P274" s="105">
        <f t="shared" si="180"/>
        <v>150</v>
      </c>
      <c r="Q274" s="397"/>
      <c r="R274" s="49"/>
    </row>
    <row r="275" spans="2:18" hidden="1">
      <c r="B275" s="94" t="s">
        <v>533</v>
      </c>
      <c r="C275" s="183"/>
      <c r="D275" s="189"/>
      <c r="E275" s="184" t="s">
        <v>307</v>
      </c>
      <c r="F275" s="28" t="s">
        <v>219</v>
      </c>
      <c r="G275" s="58">
        <f t="shared" ref="G275:P275" si="181">G272*G274/Conv_mm_in_metres</f>
        <v>0</v>
      </c>
      <c r="H275" s="58">
        <f t="shared" si="181"/>
        <v>0</v>
      </c>
      <c r="I275" s="58">
        <f t="shared" si="181"/>
        <v>0</v>
      </c>
      <c r="J275" s="58">
        <f t="shared" si="181"/>
        <v>0</v>
      </c>
      <c r="K275" s="58">
        <f t="shared" si="181"/>
        <v>0</v>
      </c>
      <c r="L275" s="58">
        <f t="shared" si="181"/>
        <v>0</v>
      </c>
      <c r="M275" s="58">
        <f t="shared" si="181"/>
        <v>0</v>
      </c>
      <c r="N275" s="58">
        <f t="shared" si="181"/>
        <v>0</v>
      </c>
      <c r="O275" s="58">
        <f t="shared" si="181"/>
        <v>0</v>
      </c>
      <c r="P275" s="58">
        <f t="shared" si="181"/>
        <v>0</v>
      </c>
      <c r="Q275" s="397"/>
      <c r="R275" s="49"/>
    </row>
    <row r="276" spans="2:18" ht="33.75" hidden="1">
      <c r="B276" s="94" t="s">
        <v>533</v>
      </c>
      <c r="C276" s="185"/>
      <c r="D276" s="190"/>
      <c r="E276" s="184" t="s">
        <v>634</v>
      </c>
      <c r="F276" s="28" t="s">
        <v>123</v>
      </c>
      <c r="G276" s="412" t="s">
        <v>615</v>
      </c>
      <c r="H276" s="412" t="s">
        <v>635</v>
      </c>
      <c r="I276" s="412" t="s">
        <v>615</v>
      </c>
      <c r="J276" s="412" t="s">
        <v>615</v>
      </c>
      <c r="K276" s="412" t="s">
        <v>615</v>
      </c>
      <c r="L276" s="412" t="s">
        <v>615</v>
      </c>
      <c r="M276" s="412" t="s">
        <v>615</v>
      </c>
      <c r="N276" s="412" t="s">
        <v>615</v>
      </c>
      <c r="O276" s="412" t="s">
        <v>615</v>
      </c>
      <c r="P276" s="412" t="s">
        <v>615</v>
      </c>
      <c r="Q276" s="397"/>
      <c r="R276" s="49"/>
    </row>
    <row r="277" spans="2:18" hidden="1">
      <c r="B277" s="94" t="s">
        <v>533</v>
      </c>
      <c r="C277" s="181" t="s">
        <v>616</v>
      </c>
      <c r="D277" s="118" t="s">
        <v>632</v>
      </c>
      <c r="E277" s="176" t="s">
        <v>204</v>
      </c>
      <c r="F277" s="28" t="s">
        <v>241</v>
      </c>
      <c r="G277" s="54">
        <f t="shared" ref="G277:P277" si="182">_xlfn.XLOOKUP(G276,Load_haul_fill_names_CS,Load_haul_fill_rates_CS)</f>
        <v>6.1704247018493934</v>
      </c>
      <c r="H277" s="54">
        <f t="shared" si="182"/>
        <v>5.9978266626337069</v>
      </c>
      <c r="I277" s="54">
        <f t="shared" si="182"/>
        <v>6.1704247018493934</v>
      </c>
      <c r="J277" s="54">
        <f t="shared" si="182"/>
        <v>6.1704247018493934</v>
      </c>
      <c r="K277" s="54">
        <f t="shared" si="182"/>
        <v>6.1704247018493934</v>
      </c>
      <c r="L277" s="54">
        <f t="shared" si="182"/>
        <v>6.1704247018493934</v>
      </c>
      <c r="M277" s="54">
        <f t="shared" si="182"/>
        <v>6.1704247018493934</v>
      </c>
      <c r="N277" s="54">
        <f t="shared" si="182"/>
        <v>6.1704247018493934</v>
      </c>
      <c r="O277" s="54">
        <f t="shared" si="182"/>
        <v>6.1704247018493934</v>
      </c>
      <c r="P277" s="54">
        <f t="shared" si="182"/>
        <v>6.1704247018493934</v>
      </c>
      <c r="Q277" s="397"/>
      <c r="R277" s="49"/>
    </row>
    <row r="278" spans="2:18" hidden="1">
      <c r="B278" s="94" t="s">
        <v>533</v>
      </c>
      <c r="C278" s="183"/>
      <c r="D278" s="189"/>
      <c r="E278" s="176" t="s">
        <v>206</v>
      </c>
      <c r="G278" s="414"/>
      <c r="H278" s="414"/>
      <c r="I278" s="414"/>
      <c r="J278" s="414"/>
      <c r="K278" s="414"/>
      <c r="L278" s="414"/>
      <c r="M278" s="414"/>
      <c r="N278" s="414"/>
      <c r="O278" s="414"/>
      <c r="P278" s="414"/>
      <c r="Q278" s="397"/>
      <c r="R278" s="49"/>
    </row>
    <row r="279" spans="2:18" hidden="1">
      <c r="B279" s="94" t="s">
        <v>533</v>
      </c>
      <c r="C279" s="185"/>
      <c r="D279" s="190"/>
      <c r="E279" s="176" t="s">
        <v>146</v>
      </c>
      <c r="F279" s="28" t="s">
        <v>207</v>
      </c>
      <c r="G279" s="132">
        <f>IF(G278="",G277,G278)*G275</f>
        <v>0</v>
      </c>
      <c r="H279" s="132">
        <f t="shared" ref="H279:P279" si="183">IF(H278="",H277,H278)*H275</f>
        <v>0</v>
      </c>
      <c r="I279" s="132">
        <f t="shared" si="183"/>
        <v>0</v>
      </c>
      <c r="J279" s="132">
        <f t="shared" si="183"/>
        <v>0</v>
      </c>
      <c r="K279" s="132">
        <f t="shared" si="183"/>
        <v>0</v>
      </c>
      <c r="L279" s="132">
        <f t="shared" si="183"/>
        <v>0</v>
      </c>
      <c r="M279" s="132">
        <f t="shared" si="183"/>
        <v>0</v>
      </c>
      <c r="N279" s="132">
        <f t="shared" si="183"/>
        <v>0</v>
      </c>
      <c r="O279" s="132">
        <f t="shared" si="183"/>
        <v>0</v>
      </c>
      <c r="P279" s="132">
        <f t="shared" si="183"/>
        <v>0</v>
      </c>
      <c r="Q279" s="397"/>
      <c r="R279" s="49"/>
    </row>
    <row r="280" spans="2:18" hidden="1">
      <c r="B280" s="94" t="s">
        <v>533</v>
      </c>
      <c r="C280" s="181" t="s">
        <v>618</v>
      </c>
      <c r="D280" s="118" t="s">
        <v>636</v>
      </c>
      <c r="E280" s="184" t="s">
        <v>634</v>
      </c>
      <c r="F280" s="28" t="s">
        <v>123</v>
      </c>
      <c r="G280" s="412" t="s">
        <v>637</v>
      </c>
      <c r="H280" s="412" t="s">
        <v>621</v>
      </c>
      <c r="I280" s="412" t="s">
        <v>621</v>
      </c>
      <c r="J280" s="412" t="s">
        <v>621</v>
      </c>
      <c r="K280" s="412" t="s">
        <v>637</v>
      </c>
      <c r="L280" s="412" t="s">
        <v>637</v>
      </c>
      <c r="M280" s="412" t="s">
        <v>637</v>
      </c>
      <c r="N280" s="412" t="s">
        <v>637</v>
      </c>
      <c r="O280" s="412" t="s">
        <v>637</v>
      </c>
      <c r="P280" s="412" t="s">
        <v>637</v>
      </c>
      <c r="Q280" s="397"/>
      <c r="R280" s="49"/>
    </row>
    <row r="281" spans="2:18" hidden="1">
      <c r="B281" s="94" t="s">
        <v>533</v>
      </c>
      <c r="C281" s="183"/>
      <c r="D281" s="189"/>
      <c r="E281" s="176" t="s">
        <v>204</v>
      </c>
      <c r="F281" s="28" t="s">
        <v>329</v>
      </c>
      <c r="G281" s="54">
        <f t="shared" ref="G281:I281" si="184">_xlfn.XLOOKUP(G280,Grader_rip_names_CS,Grader_rip_rates_CS)</f>
        <v>213.09749999999997</v>
      </c>
      <c r="H281" s="54">
        <f t="shared" si="184"/>
        <v>280.88279999999992</v>
      </c>
      <c r="I281" s="54">
        <f t="shared" si="184"/>
        <v>280.88279999999992</v>
      </c>
      <c r="J281" s="54">
        <f t="shared" ref="J281:P281" si="185">_xlfn.XLOOKUP(J280,Grader_rip_names_CS,Grader_rip_rates_CS)</f>
        <v>280.88279999999992</v>
      </c>
      <c r="K281" s="54">
        <f t="shared" si="185"/>
        <v>213.09749999999997</v>
      </c>
      <c r="L281" s="54">
        <f t="shared" si="185"/>
        <v>213.09749999999997</v>
      </c>
      <c r="M281" s="54">
        <f t="shared" si="185"/>
        <v>213.09749999999997</v>
      </c>
      <c r="N281" s="54">
        <f t="shared" si="185"/>
        <v>213.09749999999997</v>
      </c>
      <c r="O281" s="54">
        <f t="shared" si="185"/>
        <v>213.09749999999997</v>
      </c>
      <c r="P281" s="54">
        <f t="shared" si="185"/>
        <v>213.09749999999997</v>
      </c>
      <c r="Q281" s="397"/>
      <c r="R281" s="49"/>
    </row>
    <row r="282" spans="2:18" hidden="1">
      <c r="B282" s="94" t="s">
        <v>533</v>
      </c>
      <c r="C282" s="183"/>
      <c r="D282" s="189"/>
      <c r="E282" s="176" t="s">
        <v>206</v>
      </c>
      <c r="G282" s="414"/>
      <c r="H282" s="414"/>
      <c r="I282" s="414"/>
      <c r="J282" s="414"/>
      <c r="K282" s="414"/>
      <c r="L282" s="414"/>
      <c r="M282" s="414"/>
      <c r="N282" s="414"/>
      <c r="O282" s="414"/>
      <c r="P282" s="414"/>
      <c r="Q282" s="397"/>
      <c r="R282" s="49"/>
    </row>
    <row r="283" spans="2:18" hidden="1">
      <c r="B283" s="94" t="s">
        <v>533</v>
      </c>
      <c r="C283" s="185"/>
      <c r="D283" s="190"/>
      <c r="E283" s="176" t="s">
        <v>146</v>
      </c>
      <c r="F283" s="28" t="s">
        <v>207</v>
      </c>
      <c r="G283" s="79">
        <f t="shared" ref="G283:P283" si="186">G271*IF(G282="",G281,G282)</f>
        <v>0</v>
      </c>
      <c r="H283" s="79">
        <f t="shared" si="186"/>
        <v>0</v>
      </c>
      <c r="I283" s="79">
        <f t="shared" si="186"/>
        <v>0</v>
      </c>
      <c r="J283" s="79">
        <f t="shared" si="186"/>
        <v>0</v>
      </c>
      <c r="K283" s="79">
        <f t="shared" si="186"/>
        <v>0</v>
      </c>
      <c r="L283" s="79">
        <f t="shared" si="186"/>
        <v>0</v>
      </c>
      <c r="M283" s="79">
        <f t="shared" si="186"/>
        <v>0</v>
      </c>
      <c r="N283" s="79">
        <f t="shared" si="186"/>
        <v>0</v>
      </c>
      <c r="O283" s="79">
        <f t="shared" si="186"/>
        <v>0</v>
      </c>
      <c r="P283" s="79">
        <f t="shared" si="186"/>
        <v>0</v>
      </c>
      <c r="Q283" s="397"/>
      <c r="R283" s="49"/>
    </row>
    <row r="284" spans="2:18" hidden="1">
      <c r="B284" s="94" t="s">
        <v>533</v>
      </c>
      <c r="C284" s="181" t="s">
        <v>622</v>
      </c>
      <c r="D284" s="118" t="s">
        <v>636</v>
      </c>
      <c r="E284" s="176" t="s">
        <v>623</v>
      </c>
      <c r="F284" s="28" t="s">
        <v>299</v>
      </c>
      <c r="G284" s="70">
        <f>G271</f>
        <v>0</v>
      </c>
      <c r="H284" s="70">
        <f>H271</f>
        <v>0</v>
      </c>
      <c r="I284" s="70">
        <f t="shared" ref="I284:P284" si="187">I271</f>
        <v>0</v>
      </c>
      <c r="J284" s="70">
        <f t="shared" si="187"/>
        <v>0</v>
      </c>
      <c r="K284" s="70">
        <f t="shared" si="187"/>
        <v>0</v>
      </c>
      <c r="L284" s="70">
        <f t="shared" si="187"/>
        <v>0</v>
      </c>
      <c r="M284" s="70">
        <f t="shared" si="187"/>
        <v>0</v>
      </c>
      <c r="N284" s="70">
        <f t="shared" si="187"/>
        <v>0</v>
      </c>
      <c r="O284" s="70">
        <f t="shared" si="187"/>
        <v>0</v>
      </c>
      <c r="P284" s="70">
        <f t="shared" si="187"/>
        <v>0</v>
      </c>
      <c r="Q284" s="397"/>
      <c r="R284" s="49"/>
    </row>
    <row r="285" spans="2:18" hidden="1">
      <c r="B285" s="94" t="s">
        <v>533</v>
      </c>
      <c r="C285" s="183"/>
      <c r="D285" s="189"/>
      <c r="E285" s="176" t="s">
        <v>624</v>
      </c>
      <c r="F285" s="28" t="s">
        <v>299</v>
      </c>
      <c r="G285" s="470">
        <v>0</v>
      </c>
      <c r="H285" s="470">
        <v>0</v>
      </c>
      <c r="I285" s="470">
        <v>0</v>
      </c>
      <c r="J285" s="470">
        <v>0</v>
      </c>
      <c r="K285" s="470">
        <v>0</v>
      </c>
      <c r="L285" s="470">
        <v>0</v>
      </c>
      <c r="M285" s="470">
        <v>0</v>
      </c>
      <c r="N285" s="470">
        <v>0</v>
      </c>
      <c r="O285" s="470">
        <v>0</v>
      </c>
      <c r="P285" s="470">
        <v>0</v>
      </c>
      <c r="Q285" s="397"/>
      <c r="R285" s="49"/>
    </row>
    <row r="286" spans="2:18" hidden="1">
      <c r="B286" s="94" t="s">
        <v>533</v>
      </c>
      <c r="C286" s="183"/>
      <c r="D286" s="189"/>
      <c r="E286" s="176" t="s">
        <v>625</v>
      </c>
      <c r="F286" s="28" t="s">
        <v>299</v>
      </c>
      <c r="G286" s="70">
        <f t="shared" ref="G286:I286" si="188">IF(G285="",G284,G285)</f>
        <v>0</v>
      </c>
      <c r="H286" s="70">
        <f t="shared" si="188"/>
        <v>0</v>
      </c>
      <c r="I286" s="70">
        <f t="shared" si="188"/>
        <v>0</v>
      </c>
      <c r="J286" s="70">
        <f t="shared" ref="J286:P286" si="189">IF(J285="",J284,J285)</f>
        <v>0</v>
      </c>
      <c r="K286" s="70">
        <f t="shared" si="189"/>
        <v>0</v>
      </c>
      <c r="L286" s="70">
        <f t="shared" si="189"/>
        <v>0</v>
      </c>
      <c r="M286" s="70">
        <f t="shared" si="189"/>
        <v>0</v>
      </c>
      <c r="N286" s="70">
        <f t="shared" si="189"/>
        <v>0</v>
      </c>
      <c r="O286" s="70">
        <f t="shared" si="189"/>
        <v>0</v>
      </c>
      <c r="P286" s="70">
        <f t="shared" si="189"/>
        <v>0</v>
      </c>
      <c r="Q286" s="397"/>
      <c r="R286" s="49"/>
    </row>
    <row r="287" spans="2:18" hidden="1">
      <c r="B287" s="94" t="s">
        <v>533</v>
      </c>
      <c r="C287" s="183"/>
      <c r="D287" s="189"/>
      <c r="E287" s="176" t="s">
        <v>626</v>
      </c>
      <c r="F287" s="28" t="s">
        <v>123</v>
      </c>
      <c r="G287" s="412" t="s">
        <v>627</v>
      </c>
      <c r="H287" s="412" t="s">
        <v>627</v>
      </c>
      <c r="I287" s="412" t="s">
        <v>627</v>
      </c>
      <c r="J287" s="412" t="s">
        <v>627</v>
      </c>
      <c r="K287" s="412" t="s">
        <v>627</v>
      </c>
      <c r="L287" s="412" t="s">
        <v>627</v>
      </c>
      <c r="M287" s="412" t="s">
        <v>627</v>
      </c>
      <c r="N287" s="412" t="s">
        <v>627</v>
      </c>
      <c r="O287" s="412" t="s">
        <v>627</v>
      </c>
      <c r="P287" s="412" t="s">
        <v>627</v>
      </c>
      <c r="Q287" s="397"/>
      <c r="R287" s="49"/>
    </row>
    <row r="288" spans="2:18" hidden="1">
      <c r="B288" s="94" t="s">
        <v>533</v>
      </c>
      <c r="C288" s="183"/>
      <c r="D288" s="189"/>
      <c r="E288" s="176" t="s">
        <v>204</v>
      </c>
      <c r="F288" s="28" t="s">
        <v>329</v>
      </c>
      <c r="G288" s="54">
        <f t="shared" ref="G288:P288" si="190">_xlfn.XLOOKUP(G287,Dozer_rip_names_CS,Dozer_rip_rates_CS)</f>
        <v>707.60769231635197</v>
      </c>
      <c r="H288" s="54">
        <f t="shared" si="190"/>
        <v>707.60769231635197</v>
      </c>
      <c r="I288" s="54">
        <f t="shared" si="190"/>
        <v>707.60769231635197</v>
      </c>
      <c r="J288" s="54">
        <f t="shared" si="190"/>
        <v>707.60769231635197</v>
      </c>
      <c r="K288" s="54">
        <f t="shared" si="190"/>
        <v>707.60769231635197</v>
      </c>
      <c r="L288" s="54">
        <f t="shared" si="190"/>
        <v>707.60769231635197</v>
      </c>
      <c r="M288" s="54">
        <f t="shared" si="190"/>
        <v>707.60769231635197</v>
      </c>
      <c r="N288" s="54">
        <f t="shared" si="190"/>
        <v>707.60769231635197</v>
      </c>
      <c r="O288" s="54">
        <f t="shared" si="190"/>
        <v>707.60769231635197</v>
      </c>
      <c r="P288" s="54">
        <f t="shared" si="190"/>
        <v>707.60769231635197</v>
      </c>
      <c r="Q288" s="397"/>
      <c r="R288" s="49"/>
    </row>
    <row r="289" spans="2:18" hidden="1">
      <c r="B289" s="94" t="s">
        <v>533</v>
      </c>
      <c r="C289" s="183"/>
      <c r="D289" s="189"/>
      <c r="E289" s="176" t="s">
        <v>206</v>
      </c>
      <c r="F289" s="28" t="s">
        <v>329</v>
      </c>
      <c r="G289" s="414"/>
      <c r="H289" s="414"/>
      <c r="I289" s="414"/>
      <c r="J289" s="414"/>
      <c r="K289" s="414"/>
      <c r="L289" s="414"/>
      <c r="M289" s="414"/>
      <c r="N289" s="414"/>
      <c r="O289" s="414"/>
      <c r="P289" s="414"/>
      <c r="Q289" s="397"/>
      <c r="R289" s="49"/>
    </row>
    <row r="290" spans="2:18" hidden="1">
      <c r="B290" s="94" t="s">
        <v>533</v>
      </c>
      <c r="C290" s="185"/>
      <c r="D290" s="190"/>
      <c r="E290" s="176" t="s">
        <v>146</v>
      </c>
      <c r="F290" s="28" t="s">
        <v>207</v>
      </c>
      <c r="G290" s="79">
        <f t="shared" ref="G290:I290" si="191">IF(G289="",G288,G289)*G286</f>
        <v>0</v>
      </c>
      <c r="H290" s="79">
        <f t="shared" si="191"/>
        <v>0</v>
      </c>
      <c r="I290" s="79">
        <f t="shared" si="191"/>
        <v>0</v>
      </c>
      <c r="J290" s="79">
        <f t="shared" ref="J290:P290" si="192">IF(J289="",J288,J289)*J286</f>
        <v>0</v>
      </c>
      <c r="K290" s="79">
        <f t="shared" si="192"/>
        <v>0</v>
      </c>
      <c r="L290" s="79">
        <f t="shared" si="192"/>
        <v>0</v>
      </c>
      <c r="M290" s="79">
        <f t="shared" si="192"/>
        <v>0</v>
      </c>
      <c r="N290" s="79">
        <f t="shared" si="192"/>
        <v>0</v>
      </c>
      <c r="O290" s="79">
        <f t="shared" si="192"/>
        <v>0</v>
      </c>
      <c r="P290" s="79">
        <f t="shared" si="192"/>
        <v>0</v>
      </c>
      <c r="Q290" s="397"/>
      <c r="R290" s="49"/>
    </row>
    <row r="291" spans="2:18" hidden="1">
      <c r="B291" s="94" t="s">
        <v>533</v>
      </c>
      <c r="C291" s="181" t="s">
        <v>628</v>
      </c>
      <c r="D291" s="118" t="s">
        <v>636</v>
      </c>
      <c r="E291" s="176" t="s">
        <v>623</v>
      </c>
      <c r="F291" s="28" t="s">
        <v>299</v>
      </c>
      <c r="G291" s="70">
        <f t="shared" ref="G291:P291" si="193">G271</f>
        <v>0</v>
      </c>
      <c r="H291" s="70">
        <f t="shared" si="193"/>
        <v>0</v>
      </c>
      <c r="I291" s="70">
        <f t="shared" si="193"/>
        <v>0</v>
      </c>
      <c r="J291" s="70">
        <f t="shared" si="193"/>
        <v>0</v>
      </c>
      <c r="K291" s="70">
        <f t="shared" si="193"/>
        <v>0</v>
      </c>
      <c r="L291" s="70">
        <f t="shared" si="193"/>
        <v>0</v>
      </c>
      <c r="M291" s="70">
        <f t="shared" si="193"/>
        <v>0</v>
      </c>
      <c r="N291" s="70">
        <f t="shared" si="193"/>
        <v>0</v>
      </c>
      <c r="O291" s="70">
        <f t="shared" si="193"/>
        <v>0</v>
      </c>
      <c r="P291" s="70">
        <f t="shared" si="193"/>
        <v>0</v>
      </c>
      <c r="Q291" s="397"/>
      <c r="R291" s="49"/>
    </row>
    <row r="292" spans="2:18" hidden="1">
      <c r="B292" s="94" t="s">
        <v>533</v>
      </c>
      <c r="C292" s="183"/>
      <c r="D292" s="189"/>
      <c r="E292" s="176" t="s">
        <v>624</v>
      </c>
      <c r="F292" s="28" t="s">
        <v>299</v>
      </c>
      <c r="G292" s="470"/>
      <c r="H292" s="470">
        <v>0</v>
      </c>
      <c r="I292" s="470"/>
      <c r="J292" s="470"/>
      <c r="K292" s="470"/>
      <c r="L292" s="470"/>
      <c r="M292" s="470"/>
      <c r="N292" s="470"/>
      <c r="O292" s="470"/>
      <c r="P292" s="470"/>
      <c r="Q292" s="397"/>
      <c r="R292" s="49"/>
    </row>
    <row r="293" spans="2:18" hidden="1">
      <c r="B293" s="94" t="s">
        <v>533</v>
      </c>
      <c r="C293" s="183"/>
      <c r="D293" s="189"/>
      <c r="E293" s="176" t="s">
        <v>625</v>
      </c>
      <c r="F293" s="28" t="s">
        <v>299</v>
      </c>
      <c r="G293" s="70">
        <f t="shared" ref="G293:I293" si="194">IF(G292="",G291,G292)</f>
        <v>0</v>
      </c>
      <c r="H293" s="70">
        <f t="shared" si="194"/>
        <v>0</v>
      </c>
      <c r="I293" s="70">
        <f t="shared" si="194"/>
        <v>0</v>
      </c>
      <c r="J293" s="70">
        <f t="shared" ref="J293:P293" si="195">IF(J292="",J291,J292)</f>
        <v>0</v>
      </c>
      <c r="K293" s="70">
        <f t="shared" si="195"/>
        <v>0</v>
      </c>
      <c r="L293" s="70">
        <f t="shared" si="195"/>
        <v>0</v>
      </c>
      <c r="M293" s="70">
        <f t="shared" si="195"/>
        <v>0</v>
      </c>
      <c r="N293" s="70">
        <f t="shared" si="195"/>
        <v>0</v>
      </c>
      <c r="O293" s="70">
        <f t="shared" si="195"/>
        <v>0</v>
      </c>
      <c r="P293" s="70">
        <f t="shared" si="195"/>
        <v>0</v>
      </c>
      <c r="Q293" s="397"/>
      <c r="R293" s="49"/>
    </row>
    <row r="294" spans="2:18" hidden="1">
      <c r="B294" s="94" t="s">
        <v>533</v>
      </c>
      <c r="C294" s="183"/>
      <c r="D294" s="189"/>
      <c r="E294" s="176" t="s">
        <v>626</v>
      </c>
      <c r="F294" s="28" t="s">
        <v>123</v>
      </c>
      <c r="G294" s="412" t="s">
        <v>637</v>
      </c>
      <c r="H294" s="412" t="s">
        <v>637</v>
      </c>
      <c r="I294" s="412" t="s">
        <v>621</v>
      </c>
      <c r="J294" s="412" t="s">
        <v>637</v>
      </c>
      <c r="K294" s="412" t="s">
        <v>637</v>
      </c>
      <c r="L294" s="412" t="s">
        <v>637</v>
      </c>
      <c r="M294" s="412" t="s">
        <v>637</v>
      </c>
      <c r="N294" s="412" t="s">
        <v>637</v>
      </c>
      <c r="O294" s="412" t="s">
        <v>637</v>
      </c>
      <c r="P294" s="412" t="s">
        <v>637</v>
      </c>
      <c r="Q294" s="397"/>
      <c r="R294" s="49"/>
    </row>
    <row r="295" spans="2:18" hidden="1">
      <c r="B295" s="94" t="s">
        <v>533</v>
      </c>
      <c r="C295" s="183"/>
      <c r="D295" s="189"/>
      <c r="E295" s="176" t="s">
        <v>204</v>
      </c>
      <c r="F295" s="28" t="s">
        <v>329</v>
      </c>
      <c r="G295" s="54">
        <f t="shared" ref="G295:I295" si="196">_xlfn.XLOOKUP(G294,Grader_trim_names_CS,Grader_trim_rates_CS)</f>
        <v>205.9967956054017</v>
      </c>
      <c r="H295" s="54">
        <f t="shared" si="196"/>
        <v>205.9967956054017</v>
      </c>
      <c r="I295" s="54">
        <f t="shared" si="196"/>
        <v>241.70290684367134</v>
      </c>
      <c r="J295" s="54">
        <f t="shared" ref="J295:P295" si="197">_xlfn.XLOOKUP(J294,Grader_trim_names_CS,Grader_trim_rates_CS)</f>
        <v>205.9967956054017</v>
      </c>
      <c r="K295" s="54">
        <f t="shared" si="197"/>
        <v>205.9967956054017</v>
      </c>
      <c r="L295" s="54">
        <f t="shared" si="197"/>
        <v>205.9967956054017</v>
      </c>
      <c r="M295" s="54">
        <f t="shared" si="197"/>
        <v>205.9967956054017</v>
      </c>
      <c r="N295" s="54">
        <f t="shared" si="197"/>
        <v>205.9967956054017</v>
      </c>
      <c r="O295" s="54">
        <f t="shared" si="197"/>
        <v>205.9967956054017</v>
      </c>
      <c r="P295" s="54">
        <f t="shared" si="197"/>
        <v>205.9967956054017</v>
      </c>
      <c r="Q295" s="397"/>
      <c r="R295" s="49"/>
    </row>
    <row r="296" spans="2:18" hidden="1">
      <c r="B296" s="94" t="s">
        <v>533</v>
      </c>
      <c r="C296" s="183"/>
      <c r="D296" s="189"/>
      <c r="E296" s="176" t="s">
        <v>206</v>
      </c>
      <c r="F296" s="28" t="s">
        <v>329</v>
      </c>
      <c r="G296" s="414"/>
      <c r="H296" s="414"/>
      <c r="I296" s="414"/>
      <c r="J296" s="414"/>
      <c r="K296" s="414"/>
      <c r="L296" s="414"/>
      <c r="M296" s="414"/>
      <c r="N296" s="414"/>
      <c r="O296" s="414"/>
      <c r="P296" s="414"/>
      <c r="Q296" s="397"/>
      <c r="R296" s="49"/>
    </row>
    <row r="297" spans="2:18" hidden="1">
      <c r="B297" s="94" t="s">
        <v>533</v>
      </c>
      <c r="C297" s="185"/>
      <c r="D297" s="190"/>
      <c r="E297" s="176" t="s">
        <v>146</v>
      </c>
      <c r="F297" s="28" t="s">
        <v>207</v>
      </c>
      <c r="G297" s="79">
        <f t="shared" ref="G297:I297" si="198">IF(G296="",G295,G296)*G293</f>
        <v>0</v>
      </c>
      <c r="H297" s="79">
        <f t="shared" si="198"/>
        <v>0</v>
      </c>
      <c r="I297" s="79">
        <f t="shared" si="198"/>
        <v>0</v>
      </c>
      <c r="J297" s="79">
        <f t="shared" ref="J297:P297" si="199">IF(J296="",J295,J296)*J293</f>
        <v>0</v>
      </c>
      <c r="K297" s="79">
        <f t="shared" si="199"/>
        <v>0</v>
      </c>
      <c r="L297" s="79">
        <f t="shared" si="199"/>
        <v>0</v>
      </c>
      <c r="M297" s="79">
        <f t="shared" si="199"/>
        <v>0</v>
      </c>
      <c r="N297" s="79">
        <f t="shared" si="199"/>
        <v>0</v>
      </c>
      <c r="O297" s="79">
        <f t="shared" si="199"/>
        <v>0</v>
      </c>
      <c r="P297" s="79">
        <f t="shared" si="199"/>
        <v>0</v>
      </c>
      <c r="Q297" s="397"/>
      <c r="R297" s="49"/>
    </row>
    <row r="298" spans="2:18" hidden="1">
      <c r="B298" s="94" t="s">
        <v>533</v>
      </c>
      <c r="C298" s="917" t="s">
        <v>629</v>
      </c>
      <c r="D298" s="918"/>
      <c r="E298" s="218"/>
      <c r="F298" s="107" t="s">
        <v>278</v>
      </c>
      <c r="G298" s="108">
        <f>G279+G283+G290+G297</f>
        <v>0</v>
      </c>
      <c r="H298" s="108">
        <f t="shared" ref="H298:P298" si="200">H279+H283+H290+H297</f>
        <v>0</v>
      </c>
      <c r="I298" s="108">
        <f t="shared" si="200"/>
        <v>0</v>
      </c>
      <c r="J298" s="108">
        <f t="shared" si="200"/>
        <v>0</v>
      </c>
      <c r="K298" s="108">
        <f t="shared" si="200"/>
        <v>0</v>
      </c>
      <c r="L298" s="108">
        <f t="shared" si="200"/>
        <v>0</v>
      </c>
      <c r="M298" s="108">
        <f t="shared" si="200"/>
        <v>0</v>
      </c>
      <c r="N298" s="108">
        <f t="shared" si="200"/>
        <v>0</v>
      </c>
      <c r="O298" s="108">
        <f t="shared" si="200"/>
        <v>0</v>
      </c>
      <c r="P298" s="108">
        <f t="shared" si="200"/>
        <v>0</v>
      </c>
      <c r="Q298" s="397"/>
      <c r="R298" s="49"/>
    </row>
    <row r="299" spans="2:18" hidden="1">
      <c r="B299" s="94" t="s">
        <v>533</v>
      </c>
      <c r="C299" s="919"/>
      <c r="D299" s="920"/>
      <c r="E299" s="218"/>
      <c r="F299" s="107" t="s">
        <v>329</v>
      </c>
      <c r="G299" s="108">
        <f t="shared" ref="G299:P299" si="201">IF(G$271=0,0,G298/G$271)</f>
        <v>0</v>
      </c>
      <c r="H299" s="108">
        <f t="shared" si="201"/>
        <v>0</v>
      </c>
      <c r="I299" s="108">
        <f t="shared" si="201"/>
        <v>0</v>
      </c>
      <c r="J299" s="108">
        <f t="shared" si="201"/>
        <v>0</v>
      </c>
      <c r="K299" s="108">
        <f t="shared" si="201"/>
        <v>0</v>
      </c>
      <c r="L299" s="108">
        <f t="shared" si="201"/>
        <v>0</v>
      </c>
      <c r="M299" s="108">
        <f t="shared" si="201"/>
        <v>0</v>
      </c>
      <c r="N299" s="108">
        <f t="shared" si="201"/>
        <v>0</v>
      </c>
      <c r="O299" s="108">
        <f t="shared" si="201"/>
        <v>0</v>
      </c>
      <c r="P299" s="108">
        <f t="shared" si="201"/>
        <v>0</v>
      </c>
      <c r="Q299" s="397"/>
      <c r="R299" s="49"/>
    </row>
    <row r="300" spans="2:18" hidden="1">
      <c r="B300" s="94" t="s">
        <v>533</v>
      </c>
      <c r="C300" s="188"/>
      <c r="D300" s="188"/>
      <c r="E300" s="205" t="str">
        <f>C271</f>
        <v>Track / Park-up (user build)</v>
      </c>
      <c r="F300" s="62" t="s">
        <v>413</v>
      </c>
      <c r="G300" s="80">
        <f>G298</f>
        <v>0</v>
      </c>
      <c r="H300" s="80">
        <f t="shared" ref="H300:P300" si="202">H298</f>
        <v>0</v>
      </c>
      <c r="I300" s="80">
        <f t="shared" si="202"/>
        <v>0</v>
      </c>
      <c r="J300" s="80">
        <f t="shared" si="202"/>
        <v>0</v>
      </c>
      <c r="K300" s="80">
        <f t="shared" si="202"/>
        <v>0</v>
      </c>
      <c r="L300" s="80">
        <f t="shared" si="202"/>
        <v>0</v>
      </c>
      <c r="M300" s="80">
        <f t="shared" si="202"/>
        <v>0</v>
      </c>
      <c r="N300" s="80">
        <f t="shared" si="202"/>
        <v>0</v>
      </c>
      <c r="O300" s="80">
        <f t="shared" si="202"/>
        <v>0</v>
      </c>
      <c r="P300" s="80">
        <f t="shared" si="202"/>
        <v>0</v>
      </c>
      <c r="Q300" s="397"/>
      <c r="R300" s="49"/>
    </row>
    <row r="301" spans="2:18" hidden="1">
      <c r="B301" s="94" t="s">
        <v>533</v>
      </c>
      <c r="C301" s="226" t="s">
        <v>638</v>
      </c>
      <c r="D301" s="186" t="s">
        <v>604</v>
      </c>
      <c r="E301" s="182" t="s">
        <v>605</v>
      </c>
      <c r="F301" s="28" t="s">
        <v>299</v>
      </c>
      <c r="G301" s="411"/>
      <c r="H301" s="411"/>
      <c r="I301" s="411"/>
      <c r="J301" s="411"/>
      <c r="K301" s="411"/>
      <c r="L301" s="411"/>
      <c r="M301" s="411"/>
      <c r="N301" s="411"/>
      <c r="O301" s="411"/>
      <c r="P301" s="411"/>
      <c r="Q301" s="397"/>
      <c r="R301" s="49"/>
    </row>
    <row r="302" spans="2:18" hidden="1">
      <c r="B302" s="94" t="s">
        <v>533</v>
      </c>
      <c r="C302" s="220" t="s">
        <v>606</v>
      </c>
      <c r="D302" s="192" t="s">
        <v>639</v>
      </c>
      <c r="E302" s="184" t="s">
        <v>214</v>
      </c>
      <c r="F302" s="28" t="s">
        <v>215</v>
      </c>
      <c r="G302" s="58">
        <f t="shared" ref="G302:P302" si="203">G301*Conv_sqm_ha</f>
        <v>0</v>
      </c>
      <c r="H302" s="58">
        <f t="shared" si="203"/>
        <v>0</v>
      </c>
      <c r="I302" s="58">
        <f t="shared" si="203"/>
        <v>0</v>
      </c>
      <c r="J302" s="58">
        <f t="shared" si="203"/>
        <v>0</v>
      </c>
      <c r="K302" s="58">
        <f t="shared" si="203"/>
        <v>0</v>
      </c>
      <c r="L302" s="58">
        <f t="shared" si="203"/>
        <v>0</v>
      </c>
      <c r="M302" s="58">
        <f t="shared" si="203"/>
        <v>0</v>
      </c>
      <c r="N302" s="58">
        <f t="shared" si="203"/>
        <v>0</v>
      </c>
      <c r="O302" s="58">
        <f t="shared" si="203"/>
        <v>0</v>
      </c>
      <c r="P302" s="58">
        <f t="shared" si="203"/>
        <v>0</v>
      </c>
      <c r="Q302" s="397"/>
      <c r="R302" s="49"/>
    </row>
    <row r="303" spans="2:18" hidden="1">
      <c r="B303" s="94" t="s">
        <v>533</v>
      </c>
      <c r="C303" s="221"/>
      <c r="D303" s="194"/>
      <c r="E303" s="182" t="s">
        <v>608</v>
      </c>
      <c r="F303" s="28" t="s">
        <v>123</v>
      </c>
      <c r="G303" s="412" t="s">
        <v>610</v>
      </c>
      <c r="H303" s="412" t="s">
        <v>633</v>
      </c>
      <c r="I303" s="412" t="s">
        <v>611</v>
      </c>
      <c r="J303" s="412" t="s">
        <v>633</v>
      </c>
      <c r="K303" s="412" t="s">
        <v>610</v>
      </c>
      <c r="L303" s="412" t="s">
        <v>609</v>
      </c>
      <c r="M303" s="412" t="s">
        <v>611</v>
      </c>
      <c r="N303" s="412" t="s">
        <v>609</v>
      </c>
      <c r="O303" s="412" t="s">
        <v>611</v>
      </c>
      <c r="P303" s="412" t="s">
        <v>609</v>
      </c>
      <c r="Q303" s="397"/>
      <c r="R303" s="49"/>
    </row>
    <row r="304" spans="2:18" hidden="1">
      <c r="B304" s="94" t="s">
        <v>533</v>
      </c>
      <c r="C304" s="221"/>
      <c r="D304" s="194"/>
      <c r="E304" s="184" t="s">
        <v>612</v>
      </c>
      <c r="F304" s="28" t="s">
        <v>613</v>
      </c>
      <c r="G304" s="105">
        <f t="shared" ref="G304:P304" si="204">IF(G303=Earthen,0,Track_rock_gravel_bitumen_cover_thickness)</f>
        <v>0</v>
      </c>
      <c r="H304" s="105">
        <f t="shared" si="204"/>
        <v>150</v>
      </c>
      <c r="I304" s="105">
        <f t="shared" si="204"/>
        <v>150</v>
      </c>
      <c r="J304" s="105">
        <f t="shared" si="204"/>
        <v>150</v>
      </c>
      <c r="K304" s="105">
        <f t="shared" si="204"/>
        <v>0</v>
      </c>
      <c r="L304" s="105">
        <f t="shared" si="204"/>
        <v>150</v>
      </c>
      <c r="M304" s="105">
        <f t="shared" si="204"/>
        <v>150</v>
      </c>
      <c r="N304" s="105">
        <f t="shared" si="204"/>
        <v>150</v>
      </c>
      <c r="O304" s="105">
        <f t="shared" si="204"/>
        <v>150</v>
      </c>
      <c r="P304" s="105">
        <f t="shared" si="204"/>
        <v>150</v>
      </c>
      <c r="Q304" s="397"/>
      <c r="R304" s="49"/>
    </row>
    <row r="305" spans="2:18" hidden="1">
      <c r="B305" s="94" t="s">
        <v>533</v>
      </c>
      <c r="C305" s="221"/>
      <c r="D305" s="194"/>
      <c r="E305" s="184" t="s">
        <v>307</v>
      </c>
      <c r="F305" s="28" t="s">
        <v>219</v>
      </c>
      <c r="G305" s="58">
        <f t="shared" ref="G305:P305" si="205">G302*G304/Conv_mm_in_metres</f>
        <v>0</v>
      </c>
      <c r="H305" s="58">
        <f t="shared" si="205"/>
        <v>0</v>
      </c>
      <c r="I305" s="58">
        <f t="shared" si="205"/>
        <v>0</v>
      </c>
      <c r="J305" s="58">
        <f t="shared" si="205"/>
        <v>0</v>
      </c>
      <c r="K305" s="58">
        <f t="shared" si="205"/>
        <v>0</v>
      </c>
      <c r="L305" s="58">
        <f t="shared" si="205"/>
        <v>0</v>
      </c>
      <c r="M305" s="58">
        <f t="shared" si="205"/>
        <v>0</v>
      </c>
      <c r="N305" s="58">
        <f t="shared" si="205"/>
        <v>0</v>
      </c>
      <c r="O305" s="58">
        <f t="shared" si="205"/>
        <v>0</v>
      </c>
      <c r="P305" s="58">
        <f t="shared" si="205"/>
        <v>0</v>
      </c>
      <c r="Q305" s="397"/>
      <c r="R305" s="49"/>
    </row>
    <row r="306" spans="2:18" ht="33.75" hidden="1">
      <c r="B306" s="94" t="s">
        <v>533</v>
      </c>
      <c r="C306" s="222"/>
      <c r="D306" s="196"/>
      <c r="E306" s="184" t="s">
        <v>634</v>
      </c>
      <c r="F306" s="28" t="s">
        <v>123</v>
      </c>
      <c r="G306" s="412" t="s">
        <v>640</v>
      </c>
      <c r="H306" s="412" t="s">
        <v>615</v>
      </c>
      <c r="I306" s="412" t="s">
        <v>615</v>
      </c>
      <c r="J306" s="412" t="s">
        <v>615</v>
      </c>
      <c r="K306" s="412" t="s">
        <v>615</v>
      </c>
      <c r="L306" s="412" t="s">
        <v>615</v>
      </c>
      <c r="M306" s="412" t="s">
        <v>615</v>
      </c>
      <c r="N306" s="412" t="s">
        <v>615</v>
      </c>
      <c r="O306" s="412" t="s">
        <v>615</v>
      </c>
      <c r="P306" s="412" t="s">
        <v>615</v>
      </c>
      <c r="Q306" s="397"/>
      <c r="R306" s="49"/>
    </row>
    <row r="307" spans="2:18" hidden="1">
      <c r="B307" s="94" t="s">
        <v>533</v>
      </c>
      <c r="C307" s="220" t="s">
        <v>616</v>
      </c>
      <c r="D307" s="223" t="s">
        <v>641</v>
      </c>
      <c r="E307" s="176" t="s">
        <v>204</v>
      </c>
      <c r="F307" s="28" t="s">
        <v>241</v>
      </c>
      <c r="G307" s="54">
        <f t="shared" ref="G307:I307" si="206">_xlfn.XLOOKUP(G306,Load_haul_fill_names_CS,Load_haul_fill_rates_CS)</f>
        <v>7.8974345057709616</v>
      </c>
      <c r="H307" s="54">
        <f t="shared" si="206"/>
        <v>6.1704247018493934</v>
      </c>
      <c r="I307" s="54">
        <f t="shared" si="206"/>
        <v>6.1704247018493934</v>
      </c>
      <c r="J307" s="54">
        <f t="shared" ref="J307:P307" si="207">_xlfn.XLOOKUP(J306,Load_haul_fill_names_CS,Load_haul_fill_rates_CS)</f>
        <v>6.1704247018493934</v>
      </c>
      <c r="K307" s="54">
        <f t="shared" si="207"/>
        <v>6.1704247018493934</v>
      </c>
      <c r="L307" s="54">
        <f t="shared" si="207"/>
        <v>6.1704247018493934</v>
      </c>
      <c r="M307" s="54">
        <f t="shared" si="207"/>
        <v>6.1704247018493934</v>
      </c>
      <c r="N307" s="54">
        <f t="shared" si="207"/>
        <v>6.1704247018493934</v>
      </c>
      <c r="O307" s="54">
        <f t="shared" si="207"/>
        <v>6.1704247018493934</v>
      </c>
      <c r="P307" s="54">
        <f t="shared" si="207"/>
        <v>6.1704247018493934</v>
      </c>
      <c r="Q307" s="397"/>
      <c r="R307" s="49"/>
    </row>
    <row r="308" spans="2:18" hidden="1">
      <c r="B308" s="94" t="s">
        <v>533</v>
      </c>
      <c r="C308" s="221"/>
      <c r="D308" s="224"/>
      <c r="E308" s="176" t="s">
        <v>206</v>
      </c>
      <c r="F308" s="28" t="s">
        <v>241</v>
      </c>
      <c r="G308" s="414"/>
      <c r="H308" s="414"/>
      <c r="I308" s="414"/>
      <c r="J308" s="414"/>
      <c r="K308" s="414"/>
      <c r="L308" s="414"/>
      <c r="M308" s="414"/>
      <c r="N308" s="414"/>
      <c r="O308" s="414"/>
      <c r="P308" s="414"/>
      <c r="Q308" s="397"/>
      <c r="R308" s="49"/>
    </row>
    <row r="309" spans="2:18" hidden="1">
      <c r="B309" s="94" t="s">
        <v>533</v>
      </c>
      <c r="C309" s="222"/>
      <c r="D309" s="225"/>
      <c r="E309" s="176" t="s">
        <v>642</v>
      </c>
      <c r="F309" s="28" t="s">
        <v>207</v>
      </c>
      <c r="G309" s="109">
        <f t="shared" ref="G309:I309" si="208">IF(G308="",G307,G308)</f>
        <v>7.8974345057709616</v>
      </c>
      <c r="H309" s="109">
        <f t="shared" si="208"/>
        <v>6.1704247018493934</v>
      </c>
      <c r="I309" s="109">
        <f t="shared" si="208"/>
        <v>6.1704247018493934</v>
      </c>
      <c r="J309" s="109">
        <f t="shared" ref="J309:P309" si="209">IF(J308="",J307,J308)</f>
        <v>6.1704247018493934</v>
      </c>
      <c r="K309" s="109">
        <f t="shared" si="209"/>
        <v>6.1704247018493934</v>
      </c>
      <c r="L309" s="109">
        <f t="shared" si="209"/>
        <v>6.1704247018493934</v>
      </c>
      <c r="M309" s="109">
        <f t="shared" si="209"/>
        <v>6.1704247018493934</v>
      </c>
      <c r="N309" s="109">
        <f t="shared" si="209"/>
        <v>6.1704247018493934</v>
      </c>
      <c r="O309" s="109">
        <f t="shared" si="209"/>
        <v>6.1704247018493934</v>
      </c>
      <c r="P309" s="109">
        <f t="shared" si="209"/>
        <v>6.1704247018493934</v>
      </c>
      <c r="Q309" s="397"/>
      <c r="R309" s="49"/>
    </row>
    <row r="310" spans="2:18" hidden="1">
      <c r="B310" s="94" t="s">
        <v>533</v>
      </c>
      <c r="C310" s="219" t="s">
        <v>643</v>
      </c>
      <c r="D310" s="186" t="s">
        <v>641</v>
      </c>
      <c r="E310" s="176" t="s">
        <v>146</v>
      </c>
      <c r="F310" s="28" t="s">
        <v>207</v>
      </c>
      <c r="G310" s="132">
        <f t="shared" ref="G310:I310" si="210">G309*G305</f>
        <v>0</v>
      </c>
      <c r="H310" s="132">
        <f t="shared" si="210"/>
        <v>0</v>
      </c>
      <c r="I310" s="132">
        <f t="shared" si="210"/>
        <v>0</v>
      </c>
      <c r="J310" s="132">
        <f t="shared" ref="J310:P310" si="211">J309*J305</f>
        <v>0</v>
      </c>
      <c r="K310" s="132">
        <f t="shared" si="211"/>
        <v>0</v>
      </c>
      <c r="L310" s="132">
        <f t="shared" si="211"/>
        <v>0</v>
      </c>
      <c r="M310" s="132">
        <f t="shared" si="211"/>
        <v>0</v>
      </c>
      <c r="N310" s="132">
        <f t="shared" si="211"/>
        <v>0</v>
      </c>
      <c r="O310" s="132">
        <f t="shared" si="211"/>
        <v>0</v>
      </c>
      <c r="P310" s="132">
        <f t="shared" si="211"/>
        <v>0</v>
      </c>
      <c r="Q310" s="397"/>
      <c r="R310" s="49"/>
    </row>
    <row r="311" spans="2:18" hidden="1">
      <c r="B311" s="94" t="s">
        <v>533</v>
      </c>
      <c r="C311" s="220" t="s">
        <v>618</v>
      </c>
      <c r="D311" s="223" t="s">
        <v>641</v>
      </c>
      <c r="E311" s="184" t="s">
        <v>634</v>
      </c>
      <c r="F311" s="28" t="s">
        <v>123</v>
      </c>
      <c r="G311" s="412" t="s">
        <v>637</v>
      </c>
      <c r="H311" s="412" t="s">
        <v>621</v>
      </c>
      <c r="I311" s="412" t="s">
        <v>621</v>
      </c>
      <c r="J311" s="412" t="s">
        <v>621</v>
      </c>
      <c r="K311" s="412" t="s">
        <v>621</v>
      </c>
      <c r="L311" s="412" t="s">
        <v>621</v>
      </c>
      <c r="M311" s="412" t="s">
        <v>621</v>
      </c>
      <c r="N311" s="412" t="s">
        <v>621</v>
      </c>
      <c r="O311" s="412" t="s">
        <v>621</v>
      </c>
      <c r="P311" s="412" t="s">
        <v>621</v>
      </c>
      <c r="Q311" s="397"/>
      <c r="R311" s="49"/>
    </row>
    <row r="312" spans="2:18" hidden="1">
      <c r="B312" s="94" t="s">
        <v>533</v>
      </c>
      <c r="C312" s="221"/>
      <c r="D312" s="224"/>
      <c r="E312" s="176" t="s">
        <v>204</v>
      </c>
      <c r="F312" s="28" t="s">
        <v>329</v>
      </c>
      <c r="G312" s="54">
        <f t="shared" ref="G312:I312" si="212">_xlfn.XLOOKUP(G311,Grader_rip_names_CS,Grader_rip_rates_CS)</f>
        <v>213.09749999999997</v>
      </c>
      <c r="H312" s="54">
        <f t="shared" si="212"/>
        <v>280.88279999999992</v>
      </c>
      <c r="I312" s="54">
        <f t="shared" si="212"/>
        <v>280.88279999999992</v>
      </c>
      <c r="J312" s="54">
        <f t="shared" ref="J312:P312" si="213">_xlfn.XLOOKUP(J311,Grader_rip_names_CS,Grader_rip_rates_CS)</f>
        <v>280.88279999999992</v>
      </c>
      <c r="K312" s="54">
        <f t="shared" si="213"/>
        <v>280.88279999999992</v>
      </c>
      <c r="L312" s="54">
        <f t="shared" si="213"/>
        <v>280.88279999999992</v>
      </c>
      <c r="M312" s="54">
        <f t="shared" si="213"/>
        <v>280.88279999999992</v>
      </c>
      <c r="N312" s="54">
        <f t="shared" si="213"/>
        <v>280.88279999999992</v>
      </c>
      <c r="O312" s="54">
        <f t="shared" si="213"/>
        <v>280.88279999999992</v>
      </c>
      <c r="P312" s="54">
        <f t="shared" si="213"/>
        <v>280.88279999999992</v>
      </c>
      <c r="Q312" s="397"/>
      <c r="R312" s="49"/>
    </row>
    <row r="313" spans="2:18" hidden="1">
      <c r="B313" s="94" t="s">
        <v>533</v>
      </c>
      <c r="C313" s="221"/>
      <c r="D313" s="224"/>
      <c r="E313" s="176" t="s">
        <v>206</v>
      </c>
      <c r="F313" s="28" t="s">
        <v>329</v>
      </c>
      <c r="G313" s="414"/>
      <c r="H313" s="414"/>
      <c r="I313" s="414"/>
      <c r="J313" s="414"/>
      <c r="K313" s="414"/>
      <c r="L313" s="414"/>
      <c r="M313" s="414"/>
      <c r="N313" s="414"/>
      <c r="O313" s="414"/>
      <c r="P313" s="414"/>
      <c r="Q313" s="397"/>
      <c r="R313" s="49"/>
    </row>
    <row r="314" spans="2:18" hidden="1">
      <c r="B314" s="94" t="s">
        <v>533</v>
      </c>
      <c r="C314" s="222"/>
      <c r="D314" s="225"/>
      <c r="E314" s="176" t="s">
        <v>146</v>
      </c>
      <c r="F314" s="28" t="s">
        <v>207</v>
      </c>
      <c r="G314" s="79">
        <f t="shared" ref="G314:P314" si="214">G301*IF(G313="",G312,G313)</f>
        <v>0</v>
      </c>
      <c r="H314" s="79">
        <f t="shared" si="214"/>
        <v>0</v>
      </c>
      <c r="I314" s="79">
        <f t="shared" si="214"/>
        <v>0</v>
      </c>
      <c r="J314" s="79">
        <f t="shared" si="214"/>
        <v>0</v>
      </c>
      <c r="K314" s="79">
        <f t="shared" si="214"/>
        <v>0</v>
      </c>
      <c r="L314" s="79">
        <f t="shared" si="214"/>
        <v>0</v>
      </c>
      <c r="M314" s="79">
        <f t="shared" si="214"/>
        <v>0</v>
      </c>
      <c r="N314" s="79">
        <f t="shared" si="214"/>
        <v>0</v>
      </c>
      <c r="O314" s="79">
        <f t="shared" si="214"/>
        <v>0</v>
      </c>
      <c r="P314" s="79">
        <f t="shared" si="214"/>
        <v>0</v>
      </c>
      <c r="Q314" s="397"/>
      <c r="R314" s="49"/>
    </row>
    <row r="315" spans="2:18" hidden="1">
      <c r="B315" s="94" t="s">
        <v>533</v>
      </c>
      <c r="C315" s="220" t="s">
        <v>622</v>
      </c>
      <c r="D315" s="223" t="s">
        <v>641</v>
      </c>
      <c r="E315" s="176" t="s">
        <v>623</v>
      </c>
      <c r="F315" s="28" t="s">
        <v>299</v>
      </c>
      <c r="G315" s="70">
        <f>G301</f>
        <v>0</v>
      </c>
      <c r="H315" s="70">
        <f>H301</f>
        <v>0</v>
      </c>
      <c r="I315" s="70">
        <f t="shared" ref="I315:P315" si="215">I301</f>
        <v>0</v>
      </c>
      <c r="J315" s="70">
        <f t="shared" si="215"/>
        <v>0</v>
      </c>
      <c r="K315" s="70">
        <f t="shared" si="215"/>
        <v>0</v>
      </c>
      <c r="L315" s="70">
        <f t="shared" si="215"/>
        <v>0</v>
      </c>
      <c r="M315" s="70">
        <f t="shared" si="215"/>
        <v>0</v>
      </c>
      <c r="N315" s="70">
        <f t="shared" si="215"/>
        <v>0</v>
      </c>
      <c r="O315" s="70">
        <f t="shared" si="215"/>
        <v>0</v>
      </c>
      <c r="P315" s="70">
        <f t="shared" si="215"/>
        <v>0</v>
      </c>
      <c r="Q315" s="397"/>
      <c r="R315" s="49"/>
    </row>
    <row r="316" spans="2:18" hidden="1">
      <c r="B316" s="94" t="s">
        <v>533</v>
      </c>
      <c r="C316" s="221"/>
      <c r="D316" s="224"/>
      <c r="E316" s="176" t="s">
        <v>624</v>
      </c>
      <c r="F316" s="28" t="s">
        <v>299</v>
      </c>
      <c r="G316" s="470">
        <v>0</v>
      </c>
      <c r="H316" s="470">
        <v>0</v>
      </c>
      <c r="I316" s="470">
        <v>0</v>
      </c>
      <c r="J316" s="470">
        <v>0</v>
      </c>
      <c r="K316" s="470"/>
      <c r="L316" s="470">
        <v>0</v>
      </c>
      <c r="M316" s="470">
        <v>0</v>
      </c>
      <c r="N316" s="470">
        <v>0</v>
      </c>
      <c r="O316" s="470">
        <v>0</v>
      </c>
      <c r="P316" s="470">
        <v>0</v>
      </c>
      <c r="Q316" s="397"/>
      <c r="R316" s="49"/>
    </row>
    <row r="317" spans="2:18" hidden="1">
      <c r="B317" s="94" t="s">
        <v>533</v>
      </c>
      <c r="C317" s="221"/>
      <c r="D317" s="224"/>
      <c r="E317" s="176" t="s">
        <v>625</v>
      </c>
      <c r="F317" s="28" t="s">
        <v>299</v>
      </c>
      <c r="G317" s="70">
        <f t="shared" ref="G317:I317" si="216">IF(G316="",G315,G316)</f>
        <v>0</v>
      </c>
      <c r="H317" s="70">
        <f t="shared" si="216"/>
        <v>0</v>
      </c>
      <c r="I317" s="70">
        <f t="shared" si="216"/>
        <v>0</v>
      </c>
      <c r="J317" s="70">
        <f t="shared" ref="J317:P317" si="217">IF(J316="",J315,J316)</f>
        <v>0</v>
      </c>
      <c r="K317" s="70">
        <f t="shared" si="217"/>
        <v>0</v>
      </c>
      <c r="L317" s="70">
        <f t="shared" si="217"/>
        <v>0</v>
      </c>
      <c r="M317" s="70">
        <f t="shared" si="217"/>
        <v>0</v>
      </c>
      <c r="N317" s="70">
        <f t="shared" si="217"/>
        <v>0</v>
      </c>
      <c r="O317" s="70">
        <f t="shared" si="217"/>
        <v>0</v>
      </c>
      <c r="P317" s="70">
        <f t="shared" si="217"/>
        <v>0</v>
      </c>
      <c r="Q317" s="397"/>
      <c r="R317" s="49"/>
    </row>
    <row r="318" spans="2:18" hidden="1">
      <c r="B318" s="94" t="s">
        <v>533</v>
      </c>
      <c r="C318" s="221"/>
      <c r="D318" s="224"/>
      <c r="E318" s="176" t="s">
        <v>626</v>
      </c>
      <c r="F318" s="28" t="s">
        <v>123</v>
      </c>
      <c r="G318" s="412" t="s">
        <v>627</v>
      </c>
      <c r="H318" s="412" t="s">
        <v>627</v>
      </c>
      <c r="I318" s="412" t="s">
        <v>627</v>
      </c>
      <c r="J318" s="412" t="s">
        <v>627</v>
      </c>
      <c r="K318" s="412" t="s">
        <v>627</v>
      </c>
      <c r="L318" s="412" t="s">
        <v>627</v>
      </c>
      <c r="M318" s="412" t="s">
        <v>627</v>
      </c>
      <c r="N318" s="412" t="s">
        <v>627</v>
      </c>
      <c r="O318" s="412" t="s">
        <v>627</v>
      </c>
      <c r="P318" s="412" t="s">
        <v>627</v>
      </c>
      <c r="Q318" s="397"/>
      <c r="R318" s="49"/>
    </row>
    <row r="319" spans="2:18" hidden="1">
      <c r="B319" s="94" t="s">
        <v>533</v>
      </c>
      <c r="C319" s="221"/>
      <c r="D319" s="224"/>
      <c r="E319" s="176" t="s">
        <v>204</v>
      </c>
      <c r="F319" s="28" t="s">
        <v>329</v>
      </c>
      <c r="G319" s="54">
        <f t="shared" ref="G319:P319" si="218">_xlfn.XLOOKUP(G318,Dozer_rip_names_CS,Dozer_rip_rates_CS)</f>
        <v>707.60769231635197</v>
      </c>
      <c r="H319" s="54">
        <f t="shared" si="218"/>
        <v>707.60769231635197</v>
      </c>
      <c r="I319" s="54">
        <f t="shared" si="218"/>
        <v>707.60769231635197</v>
      </c>
      <c r="J319" s="54">
        <f t="shared" si="218"/>
        <v>707.60769231635197</v>
      </c>
      <c r="K319" s="54">
        <f t="shared" si="218"/>
        <v>707.60769231635197</v>
      </c>
      <c r="L319" s="54">
        <f t="shared" si="218"/>
        <v>707.60769231635197</v>
      </c>
      <c r="M319" s="54">
        <f t="shared" si="218"/>
        <v>707.60769231635197</v>
      </c>
      <c r="N319" s="54">
        <f t="shared" si="218"/>
        <v>707.60769231635197</v>
      </c>
      <c r="O319" s="54">
        <f t="shared" si="218"/>
        <v>707.60769231635197</v>
      </c>
      <c r="P319" s="54">
        <f t="shared" si="218"/>
        <v>707.60769231635197</v>
      </c>
      <c r="Q319" s="397"/>
      <c r="R319" s="49"/>
    </row>
    <row r="320" spans="2:18" hidden="1">
      <c r="B320" s="94" t="s">
        <v>533</v>
      </c>
      <c r="C320" s="221"/>
      <c r="D320" s="224"/>
      <c r="E320" s="176" t="s">
        <v>206</v>
      </c>
      <c r="F320" s="28" t="s">
        <v>329</v>
      </c>
      <c r="G320" s="414"/>
      <c r="H320" s="414"/>
      <c r="I320" s="414"/>
      <c r="J320" s="414"/>
      <c r="K320" s="414"/>
      <c r="L320" s="414"/>
      <c r="M320" s="414"/>
      <c r="N320" s="414"/>
      <c r="O320" s="414"/>
      <c r="P320" s="414"/>
      <c r="Q320" s="397"/>
      <c r="R320" s="49"/>
    </row>
    <row r="321" spans="2:18" hidden="1">
      <c r="B321" s="94" t="s">
        <v>533</v>
      </c>
      <c r="C321" s="222"/>
      <c r="D321" s="225"/>
      <c r="E321" s="176" t="s">
        <v>146</v>
      </c>
      <c r="F321" s="28" t="s">
        <v>207</v>
      </c>
      <c r="G321" s="79">
        <f t="shared" ref="G321:I321" si="219">IF(G320="",G319,G320)*G317</f>
        <v>0</v>
      </c>
      <c r="H321" s="79">
        <f t="shared" si="219"/>
        <v>0</v>
      </c>
      <c r="I321" s="79">
        <f t="shared" si="219"/>
        <v>0</v>
      </c>
      <c r="J321" s="79">
        <f t="shared" ref="J321:P321" si="220">IF(J320="",J319,J320)*J317</f>
        <v>0</v>
      </c>
      <c r="K321" s="79">
        <f t="shared" si="220"/>
        <v>0</v>
      </c>
      <c r="L321" s="79">
        <f t="shared" si="220"/>
        <v>0</v>
      </c>
      <c r="M321" s="79">
        <f t="shared" si="220"/>
        <v>0</v>
      </c>
      <c r="N321" s="79">
        <f t="shared" si="220"/>
        <v>0</v>
      </c>
      <c r="O321" s="79">
        <f t="shared" si="220"/>
        <v>0</v>
      </c>
      <c r="P321" s="79">
        <f t="shared" si="220"/>
        <v>0</v>
      </c>
      <c r="Q321" s="397"/>
      <c r="R321" s="49"/>
    </row>
    <row r="322" spans="2:18" hidden="1">
      <c r="B322" s="94" t="s">
        <v>533</v>
      </c>
      <c r="C322" s="220" t="s">
        <v>628</v>
      </c>
      <c r="D322" s="223" t="s">
        <v>641</v>
      </c>
      <c r="E322" s="176" t="s">
        <v>623</v>
      </c>
      <c r="F322" s="28" t="s">
        <v>299</v>
      </c>
      <c r="G322" s="70">
        <f t="shared" ref="G322:P322" si="221">G301</f>
        <v>0</v>
      </c>
      <c r="H322" s="70">
        <f t="shared" si="221"/>
        <v>0</v>
      </c>
      <c r="I322" s="70">
        <f t="shared" si="221"/>
        <v>0</v>
      </c>
      <c r="J322" s="70">
        <f t="shared" si="221"/>
        <v>0</v>
      </c>
      <c r="K322" s="70">
        <f t="shared" si="221"/>
        <v>0</v>
      </c>
      <c r="L322" s="70">
        <f t="shared" si="221"/>
        <v>0</v>
      </c>
      <c r="M322" s="70">
        <f t="shared" si="221"/>
        <v>0</v>
      </c>
      <c r="N322" s="70">
        <f t="shared" si="221"/>
        <v>0</v>
      </c>
      <c r="O322" s="70">
        <f t="shared" si="221"/>
        <v>0</v>
      </c>
      <c r="P322" s="70">
        <f t="shared" si="221"/>
        <v>0</v>
      </c>
      <c r="Q322" s="397"/>
      <c r="R322" s="49"/>
    </row>
    <row r="323" spans="2:18" hidden="1">
      <c r="B323" s="94" t="s">
        <v>533</v>
      </c>
      <c r="C323" s="221"/>
      <c r="D323" s="224"/>
      <c r="E323" s="176" t="s">
        <v>624</v>
      </c>
      <c r="F323" s="28" t="s">
        <v>299</v>
      </c>
      <c r="G323" s="470"/>
      <c r="H323" s="470"/>
      <c r="I323" s="470"/>
      <c r="J323" s="470"/>
      <c r="K323" s="470"/>
      <c r="L323" s="470"/>
      <c r="M323" s="470"/>
      <c r="N323" s="470"/>
      <c r="O323" s="470"/>
      <c r="P323" s="470"/>
      <c r="Q323" s="397"/>
      <c r="R323" s="49"/>
    </row>
    <row r="324" spans="2:18" hidden="1">
      <c r="B324" s="94" t="s">
        <v>533</v>
      </c>
      <c r="C324" s="221"/>
      <c r="D324" s="224"/>
      <c r="E324" s="176" t="s">
        <v>625</v>
      </c>
      <c r="F324" s="28" t="s">
        <v>299</v>
      </c>
      <c r="G324" s="70">
        <f t="shared" ref="G324:I324" si="222">IF(G323="",G322,G323)</f>
        <v>0</v>
      </c>
      <c r="H324" s="70">
        <f t="shared" si="222"/>
        <v>0</v>
      </c>
      <c r="I324" s="70">
        <f t="shared" si="222"/>
        <v>0</v>
      </c>
      <c r="J324" s="70">
        <f t="shared" ref="J324:P324" si="223">IF(J323="",J322,J323)</f>
        <v>0</v>
      </c>
      <c r="K324" s="70">
        <f t="shared" si="223"/>
        <v>0</v>
      </c>
      <c r="L324" s="70">
        <f t="shared" si="223"/>
        <v>0</v>
      </c>
      <c r="M324" s="70">
        <f t="shared" si="223"/>
        <v>0</v>
      </c>
      <c r="N324" s="70">
        <f t="shared" si="223"/>
        <v>0</v>
      </c>
      <c r="O324" s="70">
        <f t="shared" si="223"/>
        <v>0</v>
      </c>
      <c r="P324" s="70">
        <f t="shared" si="223"/>
        <v>0</v>
      </c>
      <c r="Q324" s="397"/>
      <c r="R324" s="49"/>
    </row>
    <row r="325" spans="2:18" hidden="1">
      <c r="B325" s="94" t="s">
        <v>533</v>
      </c>
      <c r="C325" s="221"/>
      <c r="D325" s="224"/>
      <c r="E325" s="176" t="s">
        <v>626</v>
      </c>
      <c r="F325" s="28" t="s">
        <v>123</v>
      </c>
      <c r="G325" s="412" t="s">
        <v>637</v>
      </c>
      <c r="H325" s="412" t="s">
        <v>637</v>
      </c>
      <c r="I325" s="412" t="s">
        <v>637</v>
      </c>
      <c r="J325" s="412" t="s">
        <v>637</v>
      </c>
      <c r="K325" s="412" t="s">
        <v>637</v>
      </c>
      <c r="L325" s="412" t="s">
        <v>637</v>
      </c>
      <c r="M325" s="412" t="s">
        <v>637</v>
      </c>
      <c r="N325" s="412" t="s">
        <v>637</v>
      </c>
      <c r="O325" s="412" t="s">
        <v>637</v>
      </c>
      <c r="P325" s="412" t="s">
        <v>637</v>
      </c>
      <c r="Q325" s="397"/>
      <c r="R325" s="49"/>
    </row>
    <row r="326" spans="2:18" hidden="1">
      <c r="B326" s="94" t="s">
        <v>533</v>
      </c>
      <c r="C326" s="221"/>
      <c r="D326" s="224"/>
      <c r="E326" s="176" t="s">
        <v>204</v>
      </c>
      <c r="F326" s="28" t="s">
        <v>329</v>
      </c>
      <c r="G326" s="54">
        <f t="shared" ref="G326:I326" si="224">_xlfn.XLOOKUP(G325,Grader_trim_names_CS,Grader_trim_rates_CS)</f>
        <v>205.9967956054017</v>
      </c>
      <c r="H326" s="54">
        <f t="shared" si="224"/>
        <v>205.9967956054017</v>
      </c>
      <c r="I326" s="54">
        <f t="shared" si="224"/>
        <v>205.9967956054017</v>
      </c>
      <c r="J326" s="54">
        <f t="shared" ref="J326:P326" si="225">_xlfn.XLOOKUP(J325,Grader_trim_names_CS,Grader_trim_rates_CS)</f>
        <v>205.9967956054017</v>
      </c>
      <c r="K326" s="54">
        <f t="shared" si="225"/>
        <v>205.9967956054017</v>
      </c>
      <c r="L326" s="54">
        <f t="shared" si="225"/>
        <v>205.9967956054017</v>
      </c>
      <c r="M326" s="54">
        <f t="shared" si="225"/>
        <v>205.9967956054017</v>
      </c>
      <c r="N326" s="54">
        <f t="shared" si="225"/>
        <v>205.9967956054017</v>
      </c>
      <c r="O326" s="54">
        <f t="shared" si="225"/>
        <v>205.9967956054017</v>
      </c>
      <c r="P326" s="54">
        <f t="shared" si="225"/>
        <v>205.9967956054017</v>
      </c>
      <c r="Q326" s="397"/>
      <c r="R326" s="49"/>
    </row>
    <row r="327" spans="2:18" hidden="1">
      <c r="B327" s="94" t="s">
        <v>533</v>
      </c>
      <c r="C327" s="221"/>
      <c r="D327" s="224"/>
      <c r="E327" s="176" t="s">
        <v>206</v>
      </c>
      <c r="F327" s="28" t="s">
        <v>329</v>
      </c>
      <c r="G327" s="414"/>
      <c r="H327" s="414"/>
      <c r="I327" s="414"/>
      <c r="J327" s="414"/>
      <c r="K327" s="414"/>
      <c r="L327" s="414"/>
      <c r="M327" s="414"/>
      <c r="N327" s="414"/>
      <c r="O327" s="414"/>
      <c r="P327" s="414"/>
      <c r="Q327" s="397"/>
      <c r="R327" s="49"/>
    </row>
    <row r="328" spans="2:18" hidden="1">
      <c r="B328" s="94" t="s">
        <v>533</v>
      </c>
      <c r="C328" s="222"/>
      <c r="D328" s="225"/>
      <c r="E328" s="176" t="s">
        <v>146</v>
      </c>
      <c r="F328" s="28" t="s">
        <v>207</v>
      </c>
      <c r="G328" s="79">
        <f t="shared" ref="G328:I328" si="226">IF(G327="",G326,G327)*G324</f>
        <v>0</v>
      </c>
      <c r="H328" s="79">
        <f t="shared" si="226"/>
        <v>0</v>
      </c>
      <c r="I328" s="79">
        <f t="shared" si="226"/>
        <v>0</v>
      </c>
      <c r="J328" s="79">
        <f t="shared" ref="J328:P328" si="227">IF(J327="",J326,J327)*J324</f>
        <v>0</v>
      </c>
      <c r="K328" s="79">
        <f t="shared" si="227"/>
        <v>0</v>
      </c>
      <c r="L328" s="79">
        <f t="shared" si="227"/>
        <v>0</v>
      </c>
      <c r="M328" s="79">
        <f t="shared" si="227"/>
        <v>0</v>
      </c>
      <c r="N328" s="79">
        <f t="shared" si="227"/>
        <v>0</v>
      </c>
      <c r="O328" s="79">
        <f t="shared" si="227"/>
        <v>0</v>
      </c>
      <c r="P328" s="79">
        <f t="shared" si="227"/>
        <v>0</v>
      </c>
      <c r="Q328" s="397"/>
      <c r="R328" s="49"/>
    </row>
    <row r="329" spans="2:18" hidden="1">
      <c r="B329" s="94" t="s">
        <v>533</v>
      </c>
      <c r="C329" s="917" t="s">
        <v>629</v>
      </c>
      <c r="D329" s="918"/>
      <c r="E329" s="218"/>
      <c r="F329" s="107" t="s">
        <v>644</v>
      </c>
      <c r="G329" s="108">
        <f>G310+G314+G321+G328</f>
        <v>0</v>
      </c>
      <c r="H329" s="108">
        <f t="shared" ref="H329:P329" si="228">H310+H314+H321+H328</f>
        <v>0</v>
      </c>
      <c r="I329" s="108">
        <f t="shared" si="228"/>
        <v>0</v>
      </c>
      <c r="J329" s="108">
        <f t="shared" si="228"/>
        <v>0</v>
      </c>
      <c r="K329" s="108">
        <f t="shared" si="228"/>
        <v>0</v>
      </c>
      <c r="L329" s="108">
        <f t="shared" si="228"/>
        <v>0</v>
      </c>
      <c r="M329" s="108">
        <f t="shared" si="228"/>
        <v>0</v>
      </c>
      <c r="N329" s="108">
        <f t="shared" si="228"/>
        <v>0</v>
      </c>
      <c r="O329" s="108">
        <f t="shared" si="228"/>
        <v>0</v>
      </c>
      <c r="P329" s="108">
        <f t="shared" si="228"/>
        <v>0</v>
      </c>
      <c r="Q329" s="397"/>
      <c r="R329" s="49"/>
    </row>
    <row r="330" spans="2:18" hidden="1">
      <c r="B330" s="94" t="s">
        <v>533</v>
      </c>
      <c r="C330" s="919"/>
      <c r="D330" s="920"/>
      <c r="E330" s="218"/>
      <c r="F330" s="107" t="s">
        <v>329</v>
      </c>
      <c r="G330" s="108">
        <f t="shared" ref="G330:P330" si="229">IF(G301=0,0,G329/G301)</f>
        <v>0</v>
      </c>
      <c r="H330" s="108">
        <f t="shared" si="229"/>
        <v>0</v>
      </c>
      <c r="I330" s="108">
        <f t="shared" si="229"/>
        <v>0</v>
      </c>
      <c r="J330" s="108">
        <f t="shared" si="229"/>
        <v>0</v>
      </c>
      <c r="K330" s="108">
        <f t="shared" si="229"/>
        <v>0</v>
      </c>
      <c r="L330" s="108">
        <f t="shared" si="229"/>
        <v>0</v>
      </c>
      <c r="M330" s="108">
        <f t="shared" si="229"/>
        <v>0</v>
      </c>
      <c r="N330" s="108">
        <f t="shared" si="229"/>
        <v>0</v>
      </c>
      <c r="O330" s="108">
        <f t="shared" si="229"/>
        <v>0</v>
      </c>
      <c r="P330" s="108">
        <f t="shared" si="229"/>
        <v>0</v>
      </c>
      <c r="Q330" s="397"/>
      <c r="R330" s="49"/>
    </row>
    <row r="331" spans="2:18" ht="12" hidden="1" thickBot="1">
      <c r="B331" s="94" t="s">
        <v>533</v>
      </c>
      <c r="C331" s="188"/>
      <c r="D331" s="188"/>
      <c r="E331" s="205" t="str">
        <f>C301</f>
        <v>Laydown Areas (user build)</v>
      </c>
      <c r="F331" s="62" t="s">
        <v>413</v>
      </c>
      <c r="G331" s="64">
        <f>G329</f>
        <v>0</v>
      </c>
      <c r="H331" s="64">
        <f t="shared" ref="H331:P331" si="230">H329</f>
        <v>0</v>
      </c>
      <c r="I331" s="64">
        <f t="shared" si="230"/>
        <v>0</v>
      </c>
      <c r="J331" s="64">
        <f t="shared" si="230"/>
        <v>0</v>
      </c>
      <c r="K331" s="64">
        <f t="shared" si="230"/>
        <v>0</v>
      </c>
      <c r="L331" s="64">
        <f t="shared" si="230"/>
        <v>0</v>
      </c>
      <c r="M331" s="64">
        <f t="shared" si="230"/>
        <v>0</v>
      </c>
      <c r="N331" s="64">
        <f t="shared" si="230"/>
        <v>0</v>
      </c>
      <c r="O331" s="64">
        <f t="shared" si="230"/>
        <v>0</v>
      </c>
      <c r="P331" s="64">
        <f t="shared" si="230"/>
        <v>0</v>
      </c>
      <c r="Q331" s="397"/>
      <c r="R331" s="49"/>
    </row>
    <row r="332" spans="2:18" hidden="1">
      <c r="B332" s="94" t="s">
        <v>533</v>
      </c>
      <c r="C332" s="211" t="s">
        <v>645</v>
      </c>
      <c r="D332" s="119" t="str">
        <f t="shared" ref="D332:D342" si="231">Growth_media</f>
        <v>Growth media</v>
      </c>
      <c r="E332" s="176" t="s">
        <v>623</v>
      </c>
      <c r="F332" s="28" t="s">
        <v>299</v>
      </c>
      <c r="G332" s="70">
        <f>G240</f>
        <v>0</v>
      </c>
      <c r="H332" s="70">
        <f t="shared" ref="H332:P332" si="232">H240</f>
        <v>0</v>
      </c>
      <c r="I332" s="70">
        <f t="shared" si="232"/>
        <v>0</v>
      </c>
      <c r="J332" s="70">
        <f t="shared" si="232"/>
        <v>0</v>
      </c>
      <c r="K332" s="70">
        <f t="shared" si="232"/>
        <v>0</v>
      </c>
      <c r="L332" s="70">
        <f t="shared" si="232"/>
        <v>0</v>
      </c>
      <c r="M332" s="70">
        <f t="shared" si="232"/>
        <v>0</v>
      </c>
      <c r="N332" s="70">
        <f t="shared" si="232"/>
        <v>0</v>
      </c>
      <c r="O332" s="70">
        <f t="shared" si="232"/>
        <v>0</v>
      </c>
      <c r="P332" s="70">
        <f t="shared" si="232"/>
        <v>0</v>
      </c>
      <c r="Q332" s="397"/>
      <c r="R332" s="49"/>
    </row>
    <row r="333" spans="2:18" hidden="1">
      <c r="B333" s="94" t="s">
        <v>533</v>
      </c>
      <c r="C333" s="227"/>
      <c r="D333" s="160"/>
      <c r="E333" s="176" t="s">
        <v>624</v>
      </c>
      <c r="F333" s="28" t="s">
        <v>299</v>
      </c>
      <c r="G333" s="460"/>
      <c r="H333" s="460"/>
      <c r="I333" s="460"/>
      <c r="J333" s="460"/>
      <c r="K333" s="460"/>
      <c r="L333" s="460"/>
      <c r="M333" s="460"/>
      <c r="N333" s="460"/>
      <c r="O333" s="460"/>
      <c r="P333" s="460"/>
      <c r="Q333" s="397"/>
      <c r="R333" s="49"/>
    </row>
    <row r="334" spans="2:18" hidden="1">
      <c r="B334" s="94" t="s">
        <v>533</v>
      </c>
      <c r="C334" s="228"/>
      <c r="D334" s="157"/>
      <c r="E334" s="176" t="s">
        <v>625</v>
      </c>
      <c r="F334" s="28" t="s">
        <v>299</v>
      </c>
      <c r="G334" s="70">
        <f t="shared" ref="G334:I334" si="233">IF(G333="",G332,G333)</f>
        <v>0</v>
      </c>
      <c r="H334" s="70">
        <f t="shared" si="233"/>
        <v>0</v>
      </c>
      <c r="I334" s="70">
        <f t="shared" si="233"/>
        <v>0</v>
      </c>
      <c r="J334" s="70">
        <f>IF(J333="",J332,J333)</f>
        <v>0</v>
      </c>
      <c r="K334" s="70">
        <f t="shared" ref="K334:L334" si="234">IF(K333="",K332,K333)</f>
        <v>0</v>
      </c>
      <c r="L334" s="70">
        <f t="shared" si="234"/>
        <v>0</v>
      </c>
      <c r="M334" s="70">
        <f t="shared" ref="M334:P334" si="235">IF(M333="",M332,M333)</f>
        <v>0</v>
      </c>
      <c r="N334" s="70">
        <f t="shared" si="235"/>
        <v>0</v>
      </c>
      <c r="O334" s="70">
        <f t="shared" si="235"/>
        <v>0</v>
      </c>
      <c r="P334" s="70">
        <f t="shared" si="235"/>
        <v>0</v>
      </c>
      <c r="Q334" s="397"/>
      <c r="R334" s="49"/>
    </row>
    <row r="335" spans="2:18" hidden="1">
      <c r="B335" s="94" t="s">
        <v>533</v>
      </c>
      <c r="C335" s="211" t="s">
        <v>646</v>
      </c>
      <c r="D335" s="119" t="str">
        <f t="shared" si="231"/>
        <v>Growth media</v>
      </c>
      <c r="E335" s="176" t="s">
        <v>623</v>
      </c>
      <c r="F335" s="28" t="s">
        <v>299</v>
      </c>
      <c r="G335" s="70">
        <f t="shared" ref="G335:P335" si="236">G271</f>
        <v>0</v>
      </c>
      <c r="H335" s="70">
        <f t="shared" si="236"/>
        <v>0</v>
      </c>
      <c r="I335" s="70">
        <f t="shared" si="236"/>
        <v>0</v>
      </c>
      <c r="J335" s="70">
        <f t="shared" si="236"/>
        <v>0</v>
      </c>
      <c r="K335" s="70">
        <f t="shared" si="236"/>
        <v>0</v>
      </c>
      <c r="L335" s="70">
        <f t="shared" si="236"/>
        <v>0</v>
      </c>
      <c r="M335" s="70">
        <f t="shared" si="236"/>
        <v>0</v>
      </c>
      <c r="N335" s="70">
        <f t="shared" si="236"/>
        <v>0</v>
      </c>
      <c r="O335" s="70">
        <f t="shared" si="236"/>
        <v>0</v>
      </c>
      <c r="P335" s="70">
        <f t="shared" si="236"/>
        <v>0</v>
      </c>
      <c r="Q335" s="397"/>
      <c r="R335" s="49"/>
    </row>
    <row r="336" spans="2:18" hidden="1">
      <c r="B336" s="94" t="s">
        <v>533</v>
      </c>
      <c r="C336" s="227"/>
      <c r="D336" s="160"/>
      <c r="E336" s="176" t="s">
        <v>624</v>
      </c>
      <c r="F336" s="28" t="s">
        <v>299</v>
      </c>
      <c r="G336" s="460"/>
      <c r="H336" s="460"/>
      <c r="I336" s="460"/>
      <c r="J336" s="460"/>
      <c r="K336" s="460"/>
      <c r="L336" s="460"/>
      <c r="M336" s="460"/>
      <c r="N336" s="460"/>
      <c r="O336" s="460"/>
      <c r="P336" s="460"/>
      <c r="Q336" s="397"/>
      <c r="R336" s="49"/>
    </row>
    <row r="337" spans="2:18" hidden="1">
      <c r="B337" s="94" t="s">
        <v>533</v>
      </c>
      <c r="C337" s="228"/>
      <c r="D337" s="157"/>
      <c r="E337" s="176" t="s">
        <v>625</v>
      </c>
      <c r="F337" s="28" t="s">
        <v>299</v>
      </c>
      <c r="G337" s="70">
        <f t="shared" ref="G337:I337" si="237">IF(G336="",G335,G336)</f>
        <v>0</v>
      </c>
      <c r="H337" s="70">
        <f t="shared" si="237"/>
        <v>0</v>
      </c>
      <c r="I337" s="70">
        <f t="shared" si="237"/>
        <v>0</v>
      </c>
      <c r="J337" s="70">
        <f t="shared" ref="J337:P337" si="238">IF(J336="",J335,J336)</f>
        <v>0</v>
      </c>
      <c r="K337" s="70">
        <f t="shared" si="238"/>
        <v>0</v>
      </c>
      <c r="L337" s="70">
        <f t="shared" si="238"/>
        <v>0</v>
      </c>
      <c r="M337" s="70">
        <f t="shared" si="238"/>
        <v>0</v>
      </c>
      <c r="N337" s="70">
        <f t="shared" si="238"/>
        <v>0</v>
      </c>
      <c r="O337" s="70">
        <f t="shared" si="238"/>
        <v>0</v>
      </c>
      <c r="P337" s="70">
        <f t="shared" si="238"/>
        <v>0</v>
      </c>
      <c r="Q337" s="397"/>
      <c r="R337" s="49"/>
    </row>
    <row r="338" spans="2:18" ht="22.5" hidden="1">
      <c r="B338" s="94" t="s">
        <v>533</v>
      </c>
      <c r="C338" s="211" t="s">
        <v>647</v>
      </c>
      <c r="D338" s="119" t="str">
        <f t="shared" si="231"/>
        <v>Growth media</v>
      </c>
      <c r="E338" s="176" t="s">
        <v>623</v>
      </c>
      <c r="F338" s="28" t="s">
        <v>299</v>
      </c>
      <c r="G338" s="70">
        <f>G$301</f>
        <v>0</v>
      </c>
      <c r="H338" s="70">
        <f t="shared" ref="H338:P338" si="239">H$301</f>
        <v>0</v>
      </c>
      <c r="I338" s="70">
        <f t="shared" si="239"/>
        <v>0</v>
      </c>
      <c r="J338" s="70">
        <f t="shared" si="239"/>
        <v>0</v>
      </c>
      <c r="K338" s="70">
        <f t="shared" si="239"/>
        <v>0</v>
      </c>
      <c r="L338" s="70">
        <f t="shared" si="239"/>
        <v>0</v>
      </c>
      <c r="M338" s="70">
        <f t="shared" si="239"/>
        <v>0</v>
      </c>
      <c r="N338" s="70">
        <f t="shared" si="239"/>
        <v>0</v>
      </c>
      <c r="O338" s="70">
        <f t="shared" si="239"/>
        <v>0</v>
      </c>
      <c r="P338" s="70">
        <f t="shared" si="239"/>
        <v>0</v>
      </c>
      <c r="Q338" s="397"/>
      <c r="R338" s="49"/>
    </row>
    <row r="339" spans="2:18" hidden="1">
      <c r="B339" s="94" t="s">
        <v>533</v>
      </c>
      <c r="C339" s="183"/>
      <c r="D339" s="160"/>
      <c r="E339" s="176" t="s">
        <v>624</v>
      </c>
      <c r="F339" s="28" t="s">
        <v>299</v>
      </c>
      <c r="G339" s="460"/>
      <c r="H339" s="460"/>
      <c r="I339" s="460"/>
      <c r="J339" s="460"/>
      <c r="K339" s="460"/>
      <c r="L339" s="460"/>
      <c r="M339" s="460"/>
      <c r="N339" s="460"/>
      <c r="O339" s="460"/>
      <c r="P339" s="460"/>
      <c r="Q339" s="397"/>
      <c r="R339" s="49"/>
    </row>
    <row r="340" spans="2:18" hidden="1">
      <c r="B340" s="94" t="s">
        <v>533</v>
      </c>
      <c r="C340" s="185"/>
      <c r="D340" s="157"/>
      <c r="E340" s="176" t="s">
        <v>625</v>
      </c>
      <c r="F340" s="28" t="s">
        <v>299</v>
      </c>
      <c r="G340" s="70">
        <f t="shared" ref="G340:I340" si="240">IF(G339="",G338,G339)</f>
        <v>0</v>
      </c>
      <c r="H340" s="70">
        <f t="shared" si="240"/>
        <v>0</v>
      </c>
      <c r="I340" s="70">
        <f t="shared" si="240"/>
        <v>0</v>
      </c>
      <c r="J340" s="70">
        <f t="shared" ref="J340:P340" si="241">IF(J339="",J338,J339)</f>
        <v>0</v>
      </c>
      <c r="K340" s="70">
        <f t="shared" si="241"/>
        <v>0</v>
      </c>
      <c r="L340" s="70">
        <f t="shared" si="241"/>
        <v>0</v>
      </c>
      <c r="M340" s="70">
        <f t="shared" si="241"/>
        <v>0</v>
      </c>
      <c r="N340" s="70">
        <f t="shared" si="241"/>
        <v>0</v>
      </c>
      <c r="O340" s="70">
        <f t="shared" si="241"/>
        <v>0</v>
      </c>
      <c r="P340" s="70">
        <f t="shared" si="241"/>
        <v>0</v>
      </c>
      <c r="Q340" s="397"/>
      <c r="R340" s="49"/>
    </row>
    <row r="341" spans="2:18" hidden="1">
      <c r="B341" s="94" t="s">
        <v>533</v>
      </c>
      <c r="C341" s="191" t="s">
        <v>648</v>
      </c>
      <c r="D341" s="176" t="str">
        <f t="shared" si="231"/>
        <v>Growth media</v>
      </c>
      <c r="E341" s="176" t="s">
        <v>649</v>
      </c>
      <c r="F341" s="28" t="s">
        <v>299</v>
      </c>
      <c r="G341" s="110">
        <f t="shared" ref="G341:I341" si="242">G334+G337+G340</f>
        <v>0</v>
      </c>
      <c r="H341" s="110">
        <f t="shared" si="242"/>
        <v>0</v>
      </c>
      <c r="I341" s="110">
        <f t="shared" si="242"/>
        <v>0</v>
      </c>
      <c r="J341" s="110">
        <f t="shared" ref="J341:P341" si="243">J334+J337+J340</f>
        <v>0</v>
      </c>
      <c r="K341" s="110">
        <f t="shared" si="243"/>
        <v>0</v>
      </c>
      <c r="L341" s="110">
        <f t="shared" si="243"/>
        <v>0</v>
      </c>
      <c r="M341" s="110">
        <f t="shared" si="243"/>
        <v>0</v>
      </c>
      <c r="N341" s="110">
        <f t="shared" si="243"/>
        <v>0</v>
      </c>
      <c r="O341" s="110">
        <f t="shared" si="243"/>
        <v>0</v>
      </c>
      <c r="P341" s="110">
        <f t="shared" si="243"/>
        <v>0</v>
      </c>
      <c r="Q341" s="397"/>
      <c r="R341" s="49"/>
    </row>
    <row r="342" spans="2:18" hidden="1">
      <c r="B342" s="94" t="s">
        <v>533</v>
      </c>
      <c r="C342" s="181" t="s">
        <v>541</v>
      </c>
      <c r="D342" s="119" t="str">
        <f t="shared" si="231"/>
        <v>Growth media</v>
      </c>
      <c r="E342" s="176" t="s">
        <v>245</v>
      </c>
      <c r="F342" s="28" t="s">
        <v>211</v>
      </c>
      <c r="G342" s="70">
        <f t="shared" ref="G342:I342" si="244">Haul_roads_track_rail_growth_media_thickness/Conv_mm_in_metres</f>
        <v>0.15</v>
      </c>
      <c r="H342" s="70">
        <f t="shared" si="244"/>
        <v>0.15</v>
      </c>
      <c r="I342" s="70">
        <f t="shared" si="244"/>
        <v>0.15</v>
      </c>
      <c r="J342" s="70">
        <f t="shared" ref="J342:P342" si="245">Haul_roads_track_rail_growth_media_thickness/Conv_mm_in_metres</f>
        <v>0.15</v>
      </c>
      <c r="K342" s="70">
        <f t="shared" si="245"/>
        <v>0.15</v>
      </c>
      <c r="L342" s="70">
        <f t="shared" si="245"/>
        <v>0.15</v>
      </c>
      <c r="M342" s="70">
        <f t="shared" si="245"/>
        <v>0.15</v>
      </c>
      <c r="N342" s="70">
        <f t="shared" si="245"/>
        <v>0.15</v>
      </c>
      <c r="O342" s="70">
        <f t="shared" si="245"/>
        <v>0.15</v>
      </c>
      <c r="P342" s="70">
        <f t="shared" si="245"/>
        <v>0.15</v>
      </c>
      <c r="Q342" s="397"/>
      <c r="R342" s="49"/>
    </row>
    <row r="343" spans="2:18" hidden="1">
      <c r="B343" s="94" t="s">
        <v>533</v>
      </c>
      <c r="C343" s="183"/>
      <c r="D343" s="160"/>
      <c r="E343" s="176" t="s">
        <v>307</v>
      </c>
      <c r="F343" s="28" t="s">
        <v>219</v>
      </c>
      <c r="G343" s="58">
        <f t="shared" ref="G343:I343" si="246">G341*Conv_sqm_ha*G342</f>
        <v>0</v>
      </c>
      <c r="H343" s="58">
        <f t="shared" si="246"/>
        <v>0</v>
      </c>
      <c r="I343" s="58">
        <f t="shared" si="246"/>
        <v>0</v>
      </c>
      <c r="J343" s="58">
        <f t="shared" ref="J343:P343" si="247">J341*Conv_sqm_ha*J342</f>
        <v>0</v>
      </c>
      <c r="K343" s="58">
        <f t="shared" si="247"/>
        <v>0</v>
      </c>
      <c r="L343" s="58">
        <f t="shared" si="247"/>
        <v>0</v>
      </c>
      <c r="M343" s="58">
        <f t="shared" si="247"/>
        <v>0</v>
      </c>
      <c r="N343" s="58">
        <f t="shared" si="247"/>
        <v>0</v>
      </c>
      <c r="O343" s="58">
        <f t="shared" si="247"/>
        <v>0</v>
      </c>
      <c r="P343" s="58">
        <f t="shared" si="247"/>
        <v>0</v>
      </c>
      <c r="Q343" s="397"/>
      <c r="R343" s="49"/>
    </row>
    <row r="344" spans="2:18" ht="33.75" hidden="1">
      <c r="B344" s="94" t="s">
        <v>533</v>
      </c>
      <c r="C344" s="183"/>
      <c r="D344" s="160"/>
      <c r="E344" s="176" t="s">
        <v>634</v>
      </c>
      <c r="F344" s="28" t="s">
        <v>123</v>
      </c>
      <c r="G344" s="412" t="s">
        <v>309</v>
      </c>
      <c r="H344" s="412" t="s">
        <v>555</v>
      </c>
      <c r="I344" s="412" t="s">
        <v>309</v>
      </c>
      <c r="J344" s="412" t="s">
        <v>555</v>
      </c>
      <c r="K344" s="412" t="s">
        <v>555</v>
      </c>
      <c r="L344" s="412" t="s">
        <v>555</v>
      </c>
      <c r="M344" s="412" t="s">
        <v>555</v>
      </c>
      <c r="N344" s="412" t="s">
        <v>555</v>
      </c>
      <c r="O344" s="412" t="s">
        <v>555</v>
      </c>
      <c r="P344" s="412" t="s">
        <v>555</v>
      </c>
      <c r="Q344" s="397"/>
      <c r="R344" s="49"/>
    </row>
    <row r="345" spans="2:18" hidden="1">
      <c r="B345" s="94" t="s">
        <v>533</v>
      </c>
      <c r="C345" s="183"/>
      <c r="D345" s="160"/>
      <c r="E345" s="176" t="s">
        <v>204</v>
      </c>
      <c r="F345" s="28" t="s">
        <v>241</v>
      </c>
      <c r="G345" s="54">
        <f t="shared" ref="G345:I345" si="248">_xlfn.XLOOKUP(G344,Load_haul_soil_names_CS,Load_haul_soil_rates_CS)</f>
        <v>4.7790031332219423</v>
      </c>
      <c r="H345" s="54">
        <f t="shared" si="248"/>
        <v>5.5737090155748836</v>
      </c>
      <c r="I345" s="54">
        <f t="shared" si="248"/>
        <v>4.7790031332219423</v>
      </c>
      <c r="J345" s="54">
        <f t="shared" ref="J345:P345" si="249">_xlfn.XLOOKUP(J344,Load_haul_soil_names_CS,Load_haul_soil_rates_CS)</f>
        <v>5.5737090155748836</v>
      </c>
      <c r="K345" s="54">
        <f t="shared" si="249"/>
        <v>5.5737090155748836</v>
      </c>
      <c r="L345" s="54">
        <f t="shared" si="249"/>
        <v>5.5737090155748836</v>
      </c>
      <c r="M345" s="54">
        <f t="shared" si="249"/>
        <v>5.5737090155748836</v>
      </c>
      <c r="N345" s="54">
        <f t="shared" si="249"/>
        <v>5.5737090155748836</v>
      </c>
      <c r="O345" s="54">
        <f t="shared" si="249"/>
        <v>5.5737090155748836</v>
      </c>
      <c r="P345" s="54">
        <f t="shared" si="249"/>
        <v>5.5737090155748836</v>
      </c>
      <c r="Q345" s="397"/>
      <c r="R345" s="49"/>
    </row>
    <row r="346" spans="2:18" hidden="1">
      <c r="B346" s="94" t="s">
        <v>533</v>
      </c>
      <c r="C346" s="183"/>
      <c r="D346" s="160"/>
      <c r="E346" s="176" t="s">
        <v>206</v>
      </c>
      <c r="F346" s="28" t="s">
        <v>241</v>
      </c>
      <c r="G346" s="414"/>
      <c r="H346" s="414"/>
      <c r="I346" s="414"/>
      <c r="J346" s="414"/>
      <c r="K346" s="414"/>
      <c r="L346" s="414"/>
      <c r="M346" s="414"/>
      <c r="N346" s="414"/>
      <c r="O346" s="414"/>
      <c r="P346" s="414"/>
      <c r="Q346" s="397"/>
      <c r="R346" s="49"/>
    </row>
    <row r="347" spans="2:18" hidden="1">
      <c r="B347" s="94" t="s">
        <v>533</v>
      </c>
      <c r="C347" s="185"/>
      <c r="D347" s="157"/>
      <c r="E347" s="176" t="s">
        <v>146</v>
      </c>
      <c r="F347" s="28" t="s">
        <v>207</v>
      </c>
      <c r="G347" s="132">
        <f t="shared" ref="G347:I347" si="250">G343*IF(G346="",G345,G346)</f>
        <v>0</v>
      </c>
      <c r="H347" s="132">
        <f t="shared" si="250"/>
        <v>0</v>
      </c>
      <c r="I347" s="132">
        <f t="shared" si="250"/>
        <v>0</v>
      </c>
      <c r="J347" s="132">
        <f t="shared" ref="J347:P347" si="251">J343*IF(J346="",J345,J346)</f>
        <v>0</v>
      </c>
      <c r="K347" s="132">
        <f t="shared" si="251"/>
        <v>0</v>
      </c>
      <c r="L347" s="132">
        <f t="shared" si="251"/>
        <v>0</v>
      </c>
      <c r="M347" s="132">
        <f t="shared" si="251"/>
        <v>0</v>
      </c>
      <c r="N347" s="132">
        <f t="shared" si="251"/>
        <v>0</v>
      </c>
      <c r="O347" s="132">
        <f t="shared" si="251"/>
        <v>0</v>
      </c>
      <c r="P347" s="132">
        <f t="shared" si="251"/>
        <v>0</v>
      </c>
      <c r="Q347" s="397"/>
      <c r="R347" s="49"/>
    </row>
    <row r="348" spans="2:18" hidden="1">
      <c r="B348" s="94" t="s">
        <v>533</v>
      </c>
      <c r="C348" s="188"/>
      <c r="D348" s="188"/>
      <c r="E348" s="205" t="s">
        <v>549</v>
      </c>
      <c r="F348" s="72"/>
      <c r="G348" s="133">
        <f t="shared" ref="G348:I348" si="252">G347</f>
        <v>0</v>
      </c>
      <c r="H348" s="133">
        <f t="shared" si="252"/>
        <v>0</v>
      </c>
      <c r="I348" s="133">
        <f t="shared" si="252"/>
        <v>0</v>
      </c>
      <c r="J348" s="133">
        <f>J347</f>
        <v>0</v>
      </c>
      <c r="K348" s="133">
        <f t="shared" ref="K348:L348" si="253">K347</f>
        <v>0</v>
      </c>
      <c r="L348" s="133">
        <f t="shared" si="253"/>
        <v>0</v>
      </c>
      <c r="M348" s="133">
        <f t="shared" ref="M348:P348" si="254">M347</f>
        <v>0</v>
      </c>
      <c r="N348" s="133">
        <f t="shared" si="254"/>
        <v>0</v>
      </c>
      <c r="O348" s="133">
        <f t="shared" si="254"/>
        <v>0</v>
      </c>
      <c r="P348" s="133">
        <f t="shared" si="254"/>
        <v>0</v>
      </c>
      <c r="Q348" s="397"/>
      <c r="R348" s="49"/>
    </row>
    <row r="349" spans="2:18" hidden="1">
      <c r="B349" s="94" t="s">
        <v>533</v>
      </c>
      <c r="C349" s="187" t="s">
        <v>650</v>
      </c>
      <c r="D349" s="119" t="str">
        <f t="shared" ref="D349:D369" si="255">Ameliorants</f>
        <v>Ameliorants</v>
      </c>
      <c r="E349" s="176" t="s">
        <v>623</v>
      </c>
      <c r="F349" s="28" t="s">
        <v>299</v>
      </c>
      <c r="G349" s="70">
        <f t="shared" ref="G349:P349" si="256">G$240</f>
        <v>0</v>
      </c>
      <c r="H349" s="70">
        <f t="shared" si="256"/>
        <v>0</v>
      </c>
      <c r="I349" s="70">
        <f t="shared" si="256"/>
        <v>0</v>
      </c>
      <c r="J349" s="70">
        <f t="shared" si="256"/>
        <v>0</v>
      </c>
      <c r="K349" s="70">
        <f t="shared" si="256"/>
        <v>0</v>
      </c>
      <c r="L349" s="70">
        <f t="shared" si="256"/>
        <v>0</v>
      </c>
      <c r="M349" s="70">
        <f t="shared" si="256"/>
        <v>0</v>
      </c>
      <c r="N349" s="70">
        <f t="shared" si="256"/>
        <v>0</v>
      </c>
      <c r="O349" s="70">
        <f t="shared" si="256"/>
        <v>0</v>
      </c>
      <c r="P349" s="70">
        <f t="shared" si="256"/>
        <v>0</v>
      </c>
      <c r="Q349" s="397"/>
      <c r="R349" s="49"/>
    </row>
    <row r="350" spans="2:18" hidden="1">
      <c r="B350" s="94" t="s">
        <v>533</v>
      </c>
      <c r="C350" s="183"/>
      <c r="D350" s="160"/>
      <c r="E350" s="176" t="s">
        <v>624</v>
      </c>
      <c r="F350" s="28" t="s">
        <v>299</v>
      </c>
      <c r="G350" s="460"/>
      <c r="H350" s="460"/>
      <c r="I350" s="460"/>
      <c r="J350" s="460"/>
      <c r="K350" s="460"/>
      <c r="L350" s="460"/>
      <c r="M350" s="460"/>
      <c r="N350" s="460"/>
      <c r="O350" s="460"/>
      <c r="P350" s="460"/>
      <c r="Q350" s="397"/>
      <c r="R350" s="49"/>
    </row>
    <row r="351" spans="2:18" hidden="1">
      <c r="B351" s="94" t="s">
        <v>533</v>
      </c>
      <c r="C351" s="185"/>
      <c r="D351" s="157"/>
      <c r="E351" s="176" t="s">
        <v>625</v>
      </c>
      <c r="F351" s="28" t="s">
        <v>299</v>
      </c>
      <c r="G351" s="70">
        <f t="shared" ref="G351:I351" si="257">IF(G350="",G349,G350)</f>
        <v>0</v>
      </c>
      <c r="H351" s="70">
        <f t="shared" si="257"/>
        <v>0</v>
      </c>
      <c r="I351" s="70">
        <f t="shared" si="257"/>
        <v>0</v>
      </c>
      <c r="J351" s="70">
        <f t="shared" ref="J351:P351" si="258">IF(J350="",J349,J350)</f>
        <v>0</v>
      </c>
      <c r="K351" s="70">
        <f t="shared" si="258"/>
        <v>0</v>
      </c>
      <c r="L351" s="70">
        <f t="shared" si="258"/>
        <v>0</v>
      </c>
      <c r="M351" s="70">
        <f t="shared" si="258"/>
        <v>0</v>
      </c>
      <c r="N351" s="70">
        <f t="shared" si="258"/>
        <v>0</v>
      </c>
      <c r="O351" s="70">
        <f t="shared" si="258"/>
        <v>0</v>
      </c>
      <c r="P351" s="70">
        <f t="shared" si="258"/>
        <v>0</v>
      </c>
      <c r="Q351" s="397"/>
      <c r="R351" s="49"/>
    </row>
    <row r="352" spans="2:18" hidden="1">
      <c r="B352" s="94" t="s">
        <v>533</v>
      </c>
      <c r="C352" s="187" t="s">
        <v>651</v>
      </c>
      <c r="D352" s="119" t="str">
        <f t="shared" si="255"/>
        <v>Ameliorants</v>
      </c>
      <c r="E352" s="176" t="s">
        <v>623</v>
      </c>
      <c r="F352" s="28" t="s">
        <v>299</v>
      </c>
      <c r="G352" s="70">
        <f t="shared" ref="G352:P352" si="259">G$271</f>
        <v>0</v>
      </c>
      <c r="H352" s="70">
        <f t="shared" si="259"/>
        <v>0</v>
      </c>
      <c r="I352" s="70">
        <f t="shared" si="259"/>
        <v>0</v>
      </c>
      <c r="J352" s="70">
        <f t="shared" si="259"/>
        <v>0</v>
      </c>
      <c r="K352" s="70">
        <f t="shared" si="259"/>
        <v>0</v>
      </c>
      <c r="L352" s="70">
        <f t="shared" si="259"/>
        <v>0</v>
      </c>
      <c r="M352" s="70">
        <f t="shared" si="259"/>
        <v>0</v>
      </c>
      <c r="N352" s="70">
        <f t="shared" si="259"/>
        <v>0</v>
      </c>
      <c r="O352" s="70">
        <f t="shared" si="259"/>
        <v>0</v>
      </c>
      <c r="P352" s="70">
        <f t="shared" si="259"/>
        <v>0</v>
      </c>
      <c r="Q352" s="397"/>
      <c r="R352" s="49"/>
    </row>
    <row r="353" spans="2:18" hidden="1">
      <c r="B353" s="94" t="s">
        <v>533</v>
      </c>
      <c r="C353" s="183"/>
      <c r="D353" s="160"/>
      <c r="E353" s="176" t="s">
        <v>624</v>
      </c>
      <c r="F353" s="28" t="s">
        <v>299</v>
      </c>
      <c r="G353" s="460"/>
      <c r="H353" s="460"/>
      <c r="I353" s="460"/>
      <c r="J353" s="460"/>
      <c r="K353" s="460"/>
      <c r="L353" s="460"/>
      <c r="M353" s="460"/>
      <c r="N353" s="460"/>
      <c r="O353" s="460"/>
      <c r="P353" s="460"/>
      <c r="Q353" s="397"/>
      <c r="R353" s="49"/>
    </row>
    <row r="354" spans="2:18" hidden="1">
      <c r="B354" s="94" t="s">
        <v>533</v>
      </c>
      <c r="C354" s="185"/>
      <c r="D354" s="157"/>
      <c r="E354" s="176" t="s">
        <v>625</v>
      </c>
      <c r="F354" s="28" t="s">
        <v>299</v>
      </c>
      <c r="G354" s="70">
        <f t="shared" ref="G354:I354" si="260">IF(G353="",G352,G353)</f>
        <v>0</v>
      </c>
      <c r="H354" s="70">
        <f t="shared" si="260"/>
        <v>0</v>
      </c>
      <c r="I354" s="70">
        <f t="shared" si="260"/>
        <v>0</v>
      </c>
      <c r="J354" s="70">
        <f t="shared" ref="J354:P354" si="261">IF(J353="",J352,J353)</f>
        <v>0</v>
      </c>
      <c r="K354" s="70">
        <f t="shared" si="261"/>
        <v>0</v>
      </c>
      <c r="L354" s="70">
        <f t="shared" si="261"/>
        <v>0</v>
      </c>
      <c r="M354" s="70">
        <f t="shared" si="261"/>
        <v>0</v>
      </c>
      <c r="N354" s="70">
        <f t="shared" si="261"/>
        <v>0</v>
      </c>
      <c r="O354" s="70">
        <f t="shared" si="261"/>
        <v>0</v>
      </c>
      <c r="P354" s="70">
        <f t="shared" si="261"/>
        <v>0</v>
      </c>
      <c r="Q354" s="397"/>
      <c r="R354" s="49"/>
    </row>
    <row r="355" spans="2:18" ht="22.5" hidden="1">
      <c r="B355" s="94" t="s">
        <v>533</v>
      </c>
      <c r="C355" s="211" t="s">
        <v>652</v>
      </c>
      <c r="D355" s="119" t="str">
        <f t="shared" si="255"/>
        <v>Ameliorants</v>
      </c>
      <c r="E355" s="176" t="s">
        <v>623</v>
      </c>
      <c r="F355" s="28" t="s">
        <v>299</v>
      </c>
      <c r="G355" s="70">
        <f>G$301</f>
        <v>0</v>
      </c>
      <c r="H355" s="70">
        <f t="shared" ref="H355:P355" si="262">H$301</f>
        <v>0</v>
      </c>
      <c r="I355" s="70">
        <f t="shared" si="262"/>
        <v>0</v>
      </c>
      <c r="J355" s="70">
        <f t="shared" si="262"/>
        <v>0</v>
      </c>
      <c r="K355" s="70">
        <f t="shared" si="262"/>
        <v>0</v>
      </c>
      <c r="L355" s="70">
        <f t="shared" si="262"/>
        <v>0</v>
      </c>
      <c r="M355" s="70">
        <f t="shared" si="262"/>
        <v>0</v>
      </c>
      <c r="N355" s="70">
        <f t="shared" si="262"/>
        <v>0</v>
      </c>
      <c r="O355" s="70">
        <f t="shared" si="262"/>
        <v>0</v>
      </c>
      <c r="P355" s="70">
        <f t="shared" si="262"/>
        <v>0</v>
      </c>
      <c r="Q355" s="397"/>
      <c r="R355" s="49"/>
    </row>
    <row r="356" spans="2:18" hidden="1">
      <c r="B356" s="94" t="s">
        <v>533</v>
      </c>
      <c r="C356" s="183"/>
      <c r="D356" s="160"/>
      <c r="E356" s="176" t="s">
        <v>624</v>
      </c>
      <c r="F356" s="28" t="s">
        <v>299</v>
      </c>
      <c r="G356" s="460"/>
      <c r="H356" s="460"/>
      <c r="I356" s="460"/>
      <c r="J356" s="460"/>
      <c r="K356" s="460"/>
      <c r="L356" s="460"/>
      <c r="M356" s="460"/>
      <c r="N356" s="460"/>
      <c r="O356" s="460"/>
      <c r="P356" s="460"/>
      <c r="Q356" s="397"/>
      <c r="R356" s="49"/>
    </row>
    <row r="357" spans="2:18" hidden="1">
      <c r="B357" s="94" t="s">
        <v>533</v>
      </c>
      <c r="C357" s="185"/>
      <c r="D357" s="157"/>
      <c r="E357" s="176" t="s">
        <v>625</v>
      </c>
      <c r="F357" s="28" t="s">
        <v>299</v>
      </c>
      <c r="G357" s="70">
        <f t="shared" ref="G357:I357" si="263">IF(G356="",G355,G356)</f>
        <v>0</v>
      </c>
      <c r="H357" s="70">
        <f t="shared" si="263"/>
        <v>0</v>
      </c>
      <c r="I357" s="70">
        <f t="shared" si="263"/>
        <v>0</v>
      </c>
      <c r="J357" s="70">
        <f t="shared" ref="J357:P357" si="264">IF(J356="",J355,J356)</f>
        <v>0</v>
      </c>
      <c r="K357" s="70">
        <f t="shared" si="264"/>
        <v>0</v>
      </c>
      <c r="L357" s="70">
        <f t="shared" si="264"/>
        <v>0</v>
      </c>
      <c r="M357" s="70">
        <f t="shared" si="264"/>
        <v>0</v>
      </c>
      <c r="N357" s="70">
        <f t="shared" si="264"/>
        <v>0</v>
      </c>
      <c r="O357" s="70">
        <f t="shared" si="264"/>
        <v>0</v>
      </c>
      <c r="P357" s="70">
        <f t="shared" si="264"/>
        <v>0</v>
      </c>
      <c r="Q357" s="397"/>
      <c r="R357" s="49"/>
    </row>
    <row r="358" spans="2:18" hidden="1">
      <c r="B358" s="94" t="s">
        <v>533</v>
      </c>
      <c r="C358" s="183" t="s">
        <v>653</v>
      </c>
      <c r="D358" s="176" t="str">
        <f t="shared" si="255"/>
        <v>Ameliorants</v>
      </c>
      <c r="E358" s="176" t="s">
        <v>649</v>
      </c>
      <c r="F358" s="28" t="s">
        <v>299</v>
      </c>
      <c r="G358" s="110">
        <f t="shared" ref="G358:I358" si="265">G351+G354+G357</f>
        <v>0</v>
      </c>
      <c r="H358" s="110">
        <f t="shared" si="265"/>
        <v>0</v>
      </c>
      <c r="I358" s="110">
        <f t="shared" si="265"/>
        <v>0</v>
      </c>
      <c r="J358" s="110">
        <f t="shared" ref="J358:P358" si="266">J351+J354+J357</f>
        <v>0</v>
      </c>
      <c r="K358" s="110">
        <f t="shared" si="266"/>
        <v>0</v>
      </c>
      <c r="L358" s="110">
        <f t="shared" si="266"/>
        <v>0</v>
      </c>
      <c r="M358" s="110">
        <f t="shared" si="266"/>
        <v>0</v>
      </c>
      <c r="N358" s="110">
        <f t="shared" si="266"/>
        <v>0</v>
      </c>
      <c r="O358" s="110">
        <f t="shared" si="266"/>
        <v>0</v>
      </c>
      <c r="P358" s="110">
        <f t="shared" si="266"/>
        <v>0</v>
      </c>
      <c r="Q358" s="397"/>
      <c r="R358" s="49"/>
    </row>
    <row r="359" spans="2:18" hidden="1">
      <c r="B359" s="94" t="s">
        <v>533</v>
      </c>
      <c r="C359" s="181" t="s">
        <v>541</v>
      </c>
      <c r="D359" s="119" t="str">
        <f t="shared" si="255"/>
        <v>Ameliorants</v>
      </c>
      <c r="E359" s="176" t="s">
        <v>311</v>
      </c>
      <c r="F359" s="28" t="s">
        <v>123</v>
      </c>
      <c r="G359" s="412" t="s">
        <v>312</v>
      </c>
      <c r="H359" s="412" t="s">
        <v>312</v>
      </c>
      <c r="I359" s="412" t="s">
        <v>312</v>
      </c>
      <c r="J359" s="412" t="s">
        <v>312</v>
      </c>
      <c r="K359" s="412" t="s">
        <v>312</v>
      </c>
      <c r="L359" s="412" t="s">
        <v>312</v>
      </c>
      <c r="M359" s="412" t="s">
        <v>312</v>
      </c>
      <c r="N359" s="412" t="s">
        <v>312</v>
      </c>
      <c r="O359" s="412" t="s">
        <v>312</v>
      </c>
      <c r="P359" s="412" t="s">
        <v>312</v>
      </c>
      <c r="Q359" s="397"/>
      <c r="R359" s="49"/>
    </row>
    <row r="360" spans="2:18" hidden="1">
      <c r="B360" s="94" t="s">
        <v>533</v>
      </c>
      <c r="C360" s="183"/>
      <c r="D360" s="160"/>
      <c r="E360" s="176" t="s">
        <v>320</v>
      </c>
      <c r="F360" s="28" t="s">
        <v>321</v>
      </c>
      <c r="G360" s="78">
        <f>_xlfn.XLOOKUP(G359,'Assumptions - General'!$B$5:$B$14,'Assumptions - General'!$C$5:$C$14)</f>
        <v>2.5</v>
      </c>
      <c r="H360" s="78">
        <f>_xlfn.XLOOKUP(H359,'Assumptions - General'!$B$5:$B$14,'Assumptions - General'!$C$5:$C$14)</f>
        <v>2.5</v>
      </c>
      <c r="I360" s="78">
        <f>_xlfn.XLOOKUP(I359,'Assumptions - General'!$B$5:$B$14,'Assumptions - General'!$C$5:$C$14)</f>
        <v>2.5</v>
      </c>
      <c r="J360" s="78">
        <f>_xlfn.XLOOKUP(J359,'Assumptions - General'!$B$5:$B$14,'Assumptions - General'!$C$5:$C$14)</f>
        <v>2.5</v>
      </c>
      <c r="K360" s="78">
        <f>_xlfn.XLOOKUP(K359,'Assumptions - General'!$B$5:$B$14,'Assumptions - General'!$C$5:$C$14)</f>
        <v>2.5</v>
      </c>
      <c r="L360" s="78">
        <f>_xlfn.XLOOKUP(L359,'Assumptions - General'!$B$5:$B$14,'Assumptions - General'!$C$5:$C$14)</f>
        <v>2.5</v>
      </c>
      <c r="M360" s="78">
        <f>_xlfn.XLOOKUP(M359,'Assumptions - General'!$B$5:$B$14,'Assumptions - General'!$C$5:$C$14)</f>
        <v>2.5</v>
      </c>
      <c r="N360" s="78">
        <f>_xlfn.XLOOKUP(N359,'Assumptions - General'!$B$5:$B$14,'Assumptions - General'!$C$5:$C$14)</f>
        <v>2.5</v>
      </c>
      <c r="O360" s="78">
        <f>_xlfn.XLOOKUP(O359,'Assumptions - General'!$B$5:$B$14,'Assumptions - General'!$C$5:$C$14)</f>
        <v>2.5</v>
      </c>
      <c r="P360" s="78">
        <f>_xlfn.XLOOKUP(P359,'Assumptions - General'!$B$5:$B$14,'Assumptions - General'!$C$5:$C$14)</f>
        <v>2.5</v>
      </c>
      <c r="Q360" s="397"/>
      <c r="R360" s="49"/>
    </row>
    <row r="361" spans="2:18" hidden="1">
      <c r="B361" s="94" t="s">
        <v>533</v>
      </c>
      <c r="C361" s="185"/>
      <c r="D361" s="157"/>
      <c r="E361" s="176" t="s">
        <v>322</v>
      </c>
      <c r="F361" s="28" t="s">
        <v>221</v>
      </c>
      <c r="G361" s="78">
        <f t="shared" ref="G361:I361" si="267">G360*G358</f>
        <v>0</v>
      </c>
      <c r="H361" s="78">
        <f t="shared" si="267"/>
        <v>0</v>
      </c>
      <c r="I361" s="78">
        <f t="shared" si="267"/>
        <v>0</v>
      </c>
      <c r="J361" s="78">
        <f t="shared" ref="J361:P361" si="268">J360*J358</f>
        <v>0</v>
      </c>
      <c r="K361" s="78">
        <f t="shared" si="268"/>
        <v>0</v>
      </c>
      <c r="L361" s="78">
        <f t="shared" si="268"/>
        <v>0</v>
      </c>
      <c r="M361" s="78">
        <f t="shared" si="268"/>
        <v>0</v>
      </c>
      <c r="N361" s="78">
        <f t="shared" si="268"/>
        <v>0</v>
      </c>
      <c r="O361" s="78">
        <f t="shared" si="268"/>
        <v>0</v>
      </c>
      <c r="P361" s="78">
        <f t="shared" si="268"/>
        <v>0</v>
      </c>
      <c r="Q361" s="397"/>
      <c r="R361" s="49"/>
    </row>
    <row r="362" spans="2:18" hidden="1">
      <c r="B362" s="94" t="s">
        <v>533</v>
      </c>
      <c r="C362" s="181" t="s">
        <v>556</v>
      </c>
      <c r="D362" s="119" t="str">
        <f t="shared" si="255"/>
        <v>Ameliorants</v>
      </c>
      <c r="E362" s="176" t="s">
        <v>227</v>
      </c>
      <c r="F362" s="28" t="s">
        <v>228</v>
      </c>
      <c r="G362" s="54">
        <f t="shared" ref="G362:P362" si="269">_xlfn.XLOOKUP(G359,Rates_soil_seed_adds_names_R,Rates_soil_seed_adds_rates_R)</f>
        <v>47</v>
      </c>
      <c r="H362" s="54">
        <f t="shared" si="269"/>
        <v>47</v>
      </c>
      <c r="I362" s="54">
        <f t="shared" si="269"/>
        <v>47</v>
      </c>
      <c r="J362" s="54">
        <f t="shared" si="269"/>
        <v>47</v>
      </c>
      <c r="K362" s="54">
        <f t="shared" si="269"/>
        <v>47</v>
      </c>
      <c r="L362" s="54">
        <f t="shared" si="269"/>
        <v>47</v>
      </c>
      <c r="M362" s="54">
        <f t="shared" si="269"/>
        <v>47</v>
      </c>
      <c r="N362" s="54">
        <f t="shared" si="269"/>
        <v>47</v>
      </c>
      <c r="O362" s="54">
        <f t="shared" si="269"/>
        <v>47</v>
      </c>
      <c r="P362" s="54">
        <f t="shared" si="269"/>
        <v>47</v>
      </c>
      <c r="Q362" s="397"/>
      <c r="R362" s="49"/>
    </row>
    <row r="363" spans="2:18" hidden="1">
      <c r="B363" s="94" t="s">
        <v>533</v>
      </c>
      <c r="C363" s="183"/>
      <c r="D363" s="160"/>
      <c r="E363" s="180" t="s">
        <v>229</v>
      </c>
      <c r="F363" s="28" t="s">
        <v>228</v>
      </c>
      <c r="G363" s="414"/>
      <c r="H363" s="414"/>
      <c r="I363" s="414"/>
      <c r="J363" s="414"/>
      <c r="K363" s="414"/>
      <c r="L363" s="414"/>
      <c r="M363" s="414"/>
      <c r="N363" s="414"/>
      <c r="O363" s="414"/>
      <c r="P363" s="414"/>
      <c r="Q363" s="397"/>
      <c r="R363" s="49"/>
    </row>
    <row r="364" spans="2:18" hidden="1">
      <c r="B364" s="94" t="s">
        <v>533</v>
      </c>
      <c r="C364" s="185"/>
      <c r="D364" s="157"/>
      <c r="E364" s="176" t="s">
        <v>325</v>
      </c>
      <c r="F364" s="28" t="s">
        <v>207</v>
      </c>
      <c r="G364" s="134">
        <f t="shared" ref="G364:I364" si="270">IF(G363="",G362,G363)*G361</f>
        <v>0</v>
      </c>
      <c r="H364" s="134">
        <f t="shared" si="270"/>
        <v>0</v>
      </c>
      <c r="I364" s="134">
        <f t="shared" si="270"/>
        <v>0</v>
      </c>
      <c r="J364" s="134">
        <f t="shared" ref="J364:P364" si="271">IF(J363="",J362,J363)*J361</f>
        <v>0</v>
      </c>
      <c r="K364" s="134">
        <f t="shared" si="271"/>
        <v>0</v>
      </c>
      <c r="L364" s="134">
        <f t="shared" si="271"/>
        <v>0</v>
      </c>
      <c r="M364" s="134">
        <f t="shared" si="271"/>
        <v>0</v>
      </c>
      <c r="N364" s="134">
        <f t="shared" si="271"/>
        <v>0</v>
      </c>
      <c r="O364" s="134">
        <f t="shared" si="271"/>
        <v>0</v>
      </c>
      <c r="P364" s="134">
        <f t="shared" si="271"/>
        <v>0</v>
      </c>
      <c r="Q364" s="397"/>
      <c r="R364" s="49"/>
    </row>
    <row r="365" spans="2:18" hidden="1">
      <c r="B365" s="94" t="s">
        <v>533</v>
      </c>
      <c r="C365" s="181" t="s">
        <v>557</v>
      </c>
      <c r="D365" s="119" t="str">
        <f t="shared" si="255"/>
        <v>Ameliorants</v>
      </c>
      <c r="E365" s="208" t="s">
        <v>558</v>
      </c>
      <c r="F365" s="28" t="s">
        <v>123</v>
      </c>
      <c r="G365" s="412" t="s">
        <v>654</v>
      </c>
      <c r="H365" s="412" t="s">
        <v>655</v>
      </c>
      <c r="I365" s="412" t="s">
        <v>654</v>
      </c>
      <c r="J365" s="412" t="s">
        <v>233</v>
      </c>
      <c r="K365" s="412" t="s">
        <v>233</v>
      </c>
      <c r="L365" s="412" t="s">
        <v>233</v>
      </c>
      <c r="M365" s="412" t="s">
        <v>233</v>
      </c>
      <c r="N365" s="412" t="s">
        <v>233</v>
      </c>
      <c r="O365" s="412" t="s">
        <v>233</v>
      </c>
      <c r="P365" s="412" t="s">
        <v>233</v>
      </c>
      <c r="Q365" s="397"/>
      <c r="R365" s="49"/>
    </row>
    <row r="366" spans="2:18" hidden="1">
      <c r="B366" s="94" t="s">
        <v>533</v>
      </c>
      <c r="C366" s="183"/>
      <c r="D366" s="160"/>
      <c r="E366" s="176" t="s">
        <v>227</v>
      </c>
      <c r="F366" s="28" t="s">
        <v>234</v>
      </c>
      <c r="G366" s="54">
        <f t="shared" ref="G366:P366" si="272">_xlfn.XLOOKUP(G365,Long_haul_soil_amend_names_mass_CS,Long_haul_soil_amend_rates_mass_CS)</f>
        <v>0.11101913231752973</v>
      </c>
      <c r="H366" s="54">
        <f t="shared" si="272"/>
        <v>0.1805610190412594</v>
      </c>
      <c r="I366" s="54">
        <f t="shared" si="272"/>
        <v>0.11101913231752973</v>
      </c>
      <c r="J366" s="54">
        <f t="shared" si="272"/>
        <v>0.11650973647112783</v>
      </c>
      <c r="K366" s="54">
        <f t="shared" si="272"/>
        <v>0.11650973647112783</v>
      </c>
      <c r="L366" s="54">
        <f t="shared" si="272"/>
        <v>0.11650973647112783</v>
      </c>
      <c r="M366" s="54">
        <f t="shared" si="272"/>
        <v>0.11650973647112783</v>
      </c>
      <c r="N366" s="54">
        <f t="shared" si="272"/>
        <v>0.11650973647112783</v>
      </c>
      <c r="O366" s="54">
        <f t="shared" si="272"/>
        <v>0.11650973647112783</v>
      </c>
      <c r="P366" s="54">
        <f t="shared" si="272"/>
        <v>0.11650973647112783</v>
      </c>
      <c r="Q366" s="397"/>
      <c r="R366" s="49"/>
    </row>
    <row r="367" spans="2:18" hidden="1">
      <c r="B367" s="94" t="s">
        <v>533</v>
      </c>
      <c r="C367" s="183"/>
      <c r="D367" s="160"/>
      <c r="E367" s="180" t="s">
        <v>229</v>
      </c>
      <c r="F367" s="28" t="s">
        <v>234</v>
      </c>
      <c r="G367" s="414"/>
      <c r="H367" s="414"/>
      <c r="I367" s="414"/>
      <c r="J367" s="414"/>
      <c r="K367" s="414"/>
      <c r="L367" s="414"/>
      <c r="M367" s="414"/>
      <c r="N367" s="414"/>
      <c r="O367" s="414"/>
      <c r="P367" s="414"/>
      <c r="Q367" s="397"/>
      <c r="R367" s="49"/>
    </row>
    <row r="368" spans="2:18" hidden="1">
      <c r="B368" s="94" t="s">
        <v>533</v>
      </c>
      <c r="C368" s="185"/>
      <c r="D368" s="157"/>
      <c r="E368" s="176" t="s">
        <v>146</v>
      </c>
      <c r="F368" s="28" t="s">
        <v>207</v>
      </c>
      <c r="G368" s="135">
        <f t="shared" ref="G368:P368" si="273">G361*_xlfn.XLOOKUP(G365,Long_haul_distance_names_L,Long_haul_distances_average_L)*IF(G367="",G366,G367)</f>
        <v>0</v>
      </c>
      <c r="H368" s="135">
        <f t="shared" si="273"/>
        <v>0</v>
      </c>
      <c r="I368" s="135">
        <f t="shared" si="273"/>
        <v>0</v>
      </c>
      <c r="J368" s="135">
        <f t="shared" si="273"/>
        <v>0</v>
      </c>
      <c r="K368" s="135">
        <f t="shared" si="273"/>
        <v>0</v>
      </c>
      <c r="L368" s="135">
        <f t="shared" si="273"/>
        <v>0</v>
      </c>
      <c r="M368" s="135">
        <f t="shared" si="273"/>
        <v>0</v>
      </c>
      <c r="N368" s="135">
        <f t="shared" si="273"/>
        <v>0</v>
      </c>
      <c r="O368" s="135">
        <f t="shared" si="273"/>
        <v>0</v>
      </c>
      <c r="P368" s="135">
        <f t="shared" si="273"/>
        <v>0</v>
      </c>
      <c r="Q368" s="397"/>
      <c r="R368" s="49"/>
    </row>
    <row r="369" spans="2:18" hidden="1">
      <c r="B369" s="94" t="s">
        <v>533</v>
      </c>
      <c r="C369" s="181" t="s">
        <v>328</v>
      </c>
      <c r="D369" s="119" t="str">
        <f t="shared" si="255"/>
        <v>Ameliorants</v>
      </c>
      <c r="E369" s="180" t="s">
        <v>229</v>
      </c>
      <c r="F369" s="28" t="s">
        <v>329</v>
      </c>
      <c r="G369" s="414"/>
      <c r="H369" s="414"/>
      <c r="I369" s="414"/>
      <c r="J369" s="414"/>
      <c r="K369" s="414"/>
      <c r="L369" s="414"/>
      <c r="M369" s="414"/>
      <c r="N369" s="414"/>
      <c r="O369" s="414"/>
      <c r="P369" s="414"/>
      <c r="Q369" s="397"/>
      <c r="R369" s="49"/>
    </row>
    <row r="370" spans="2:18" hidden="1">
      <c r="B370" s="94" t="s">
        <v>533</v>
      </c>
      <c r="C370" s="183"/>
      <c r="D370" s="160"/>
      <c r="E370" s="176" t="s">
        <v>227</v>
      </c>
      <c r="F370" s="28" t="s">
        <v>329</v>
      </c>
      <c r="G370" s="54">
        <f>'Cost Schedule'!$D$9</f>
        <v>2323.4444444444448</v>
      </c>
      <c r="H370" s="54">
        <f>'Cost Schedule'!$D$9</f>
        <v>2323.4444444444448</v>
      </c>
      <c r="I370" s="54">
        <f>'Cost Schedule'!$D$9</f>
        <v>2323.4444444444448</v>
      </c>
      <c r="J370" s="54">
        <f>'Cost Schedule'!$D$9</f>
        <v>2323.4444444444448</v>
      </c>
      <c r="K370" s="54">
        <f>'Cost Schedule'!$D$9</f>
        <v>2323.4444444444448</v>
      </c>
      <c r="L370" s="54">
        <f>'Cost Schedule'!$D$9</f>
        <v>2323.4444444444448</v>
      </c>
      <c r="M370" s="54">
        <f>'Cost Schedule'!$D$9</f>
        <v>2323.4444444444448</v>
      </c>
      <c r="N370" s="54">
        <f>'Cost Schedule'!$D$9</f>
        <v>2323.4444444444448</v>
      </c>
      <c r="O370" s="54">
        <f>'Cost Schedule'!$D$9</f>
        <v>2323.4444444444448</v>
      </c>
      <c r="P370" s="54">
        <f>'Cost Schedule'!$D$9</f>
        <v>2323.4444444444448</v>
      </c>
      <c r="Q370" s="397"/>
      <c r="R370" s="49"/>
    </row>
    <row r="371" spans="2:18" hidden="1">
      <c r="B371" s="94" t="s">
        <v>533</v>
      </c>
      <c r="C371" s="185"/>
      <c r="D371" s="157"/>
      <c r="E371" s="176" t="s">
        <v>146</v>
      </c>
      <c r="F371" s="28" t="s">
        <v>207</v>
      </c>
      <c r="G371" s="134">
        <f t="shared" ref="G371:P371" si="274">G358*IF(G369="",G370,G369)</f>
        <v>0</v>
      </c>
      <c r="H371" s="134">
        <f t="shared" si="274"/>
        <v>0</v>
      </c>
      <c r="I371" s="134">
        <f t="shared" si="274"/>
        <v>0</v>
      </c>
      <c r="J371" s="134">
        <f t="shared" si="274"/>
        <v>0</v>
      </c>
      <c r="K371" s="134">
        <f t="shared" si="274"/>
        <v>0</v>
      </c>
      <c r="L371" s="134">
        <f t="shared" si="274"/>
        <v>0</v>
      </c>
      <c r="M371" s="134">
        <f t="shared" si="274"/>
        <v>0</v>
      </c>
      <c r="N371" s="134">
        <f t="shared" si="274"/>
        <v>0</v>
      </c>
      <c r="O371" s="134">
        <f t="shared" si="274"/>
        <v>0</v>
      </c>
      <c r="P371" s="134">
        <f t="shared" si="274"/>
        <v>0</v>
      </c>
      <c r="Q371" s="397"/>
      <c r="R371" s="49"/>
    </row>
    <row r="372" spans="2:18" hidden="1">
      <c r="B372" s="94" t="s">
        <v>533</v>
      </c>
      <c r="C372" s="188"/>
      <c r="D372" s="188"/>
      <c r="E372" s="205" t="s">
        <v>656</v>
      </c>
      <c r="F372" s="72"/>
      <c r="G372" s="133">
        <f t="shared" ref="G372:P372" si="275">G364+G368+G371</f>
        <v>0</v>
      </c>
      <c r="H372" s="133">
        <f t="shared" si="275"/>
        <v>0</v>
      </c>
      <c r="I372" s="133">
        <f t="shared" si="275"/>
        <v>0</v>
      </c>
      <c r="J372" s="133">
        <f t="shared" si="275"/>
        <v>0</v>
      </c>
      <c r="K372" s="133">
        <f t="shared" si="275"/>
        <v>0</v>
      </c>
      <c r="L372" s="133">
        <f t="shared" si="275"/>
        <v>0</v>
      </c>
      <c r="M372" s="133">
        <f t="shared" si="275"/>
        <v>0</v>
      </c>
      <c r="N372" s="133">
        <f t="shared" si="275"/>
        <v>0</v>
      </c>
      <c r="O372" s="133">
        <f t="shared" si="275"/>
        <v>0</v>
      </c>
      <c r="P372" s="133">
        <f t="shared" si="275"/>
        <v>0</v>
      </c>
      <c r="Q372" s="397"/>
      <c r="R372" s="49"/>
    </row>
    <row r="373" spans="2:18" hidden="1">
      <c r="B373" s="94" t="s">
        <v>533</v>
      </c>
      <c r="C373" s="187" t="s">
        <v>657</v>
      </c>
      <c r="D373" s="119" t="str">
        <f t="shared" ref="D373:D379" si="276">Ameliorants</f>
        <v>Ameliorants</v>
      </c>
      <c r="E373" s="176" t="s">
        <v>623</v>
      </c>
      <c r="F373" s="28" t="s">
        <v>299</v>
      </c>
      <c r="G373" s="70">
        <f t="shared" ref="G373:P373" si="277">G$240</f>
        <v>0</v>
      </c>
      <c r="H373" s="70">
        <f t="shared" si="277"/>
        <v>0</v>
      </c>
      <c r="I373" s="70">
        <f t="shared" si="277"/>
        <v>0</v>
      </c>
      <c r="J373" s="70">
        <f t="shared" si="277"/>
        <v>0</v>
      </c>
      <c r="K373" s="70">
        <f t="shared" si="277"/>
        <v>0</v>
      </c>
      <c r="L373" s="70">
        <f t="shared" si="277"/>
        <v>0</v>
      </c>
      <c r="M373" s="70">
        <f t="shared" si="277"/>
        <v>0</v>
      </c>
      <c r="N373" s="70">
        <f t="shared" si="277"/>
        <v>0</v>
      </c>
      <c r="O373" s="70">
        <f t="shared" si="277"/>
        <v>0</v>
      </c>
      <c r="P373" s="70">
        <f t="shared" si="277"/>
        <v>0</v>
      </c>
      <c r="Q373" s="397"/>
      <c r="R373" s="49"/>
    </row>
    <row r="374" spans="2:18" hidden="1">
      <c r="B374" s="94" t="s">
        <v>533</v>
      </c>
      <c r="C374" s="183"/>
      <c r="D374" s="160"/>
      <c r="E374" s="176" t="s">
        <v>624</v>
      </c>
      <c r="F374" s="28" t="s">
        <v>299</v>
      </c>
      <c r="G374" s="460"/>
      <c r="H374" s="460"/>
      <c r="I374" s="460"/>
      <c r="J374" s="460"/>
      <c r="K374" s="460"/>
      <c r="L374" s="460"/>
      <c r="M374" s="460"/>
      <c r="N374" s="460"/>
      <c r="O374" s="460"/>
      <c r="P374" s="460"/>
      <c r="Q374" s="397"/>
      <c r="R374" s="49"/>
    </row>
    <row r="375" spans="2:18" hidden="1">
      <c r="B375" s="94" t="s">
        <v>533</v>
      </c>
      <c r="C375" s="185"/>
      <c r="D375" s="157"/>
      <c r="E375" s="176" t="s">
        <v>625</v>
      </c>
      <c r="F375" s="28" t="s">
        <v>299</v>
      </c>
      <c r="G375" s="70">
        <f t="shared" ref="G375:P375" si="278">IF(G374="",G373,G374)</f>
        <v>0</v>
      </c>
      <c r="H375" s="70">
        <f t="shared" si="278"/>
        <v>0</v>
      </c>
      <c r="I375" s="70">
        <f t="shared" si="278"/>
        <v>0</v>
      </c>
      <c r="J375" s="70">
        <f t="shared" si="278"/>
        <v>0</v>
      </c>
      <c r="K375" s="70">
        <f t="shared" si="278"/>
        <v>0</v>
      </c>
      <c r="L375" s="70">
        <f t="shared" si="278"/>
        <v>0</v>
      </c>
      <c r="M375" s="70">
        <f t="shared" si="278"/>
        <v>0</v>
      </c>
      <c r="N375" s="70">
        <f t="shared" si="278"/>
        <v>0</v>
      </c>
      <c r="O375" s="70">
        <f t="shared" si="278"/>
        <v>0</v>
      </c>
      <c r="P375" s="70">
        <f t="shared" si="278"/>
        <v>0</v>
      </c>
      <c r="Q375" s="397"/>
      <c r="R375" s="49"/>
    </row>
    <row r="376" spans="2:18" hidden="1">
      <c r="B376" s="94" t="s">
        <v>533</v>
      </c>
      <c r="C376" s="187" t="s">
        <v>658</v>
      </c>
      <c r="D376" s="119" t="str">
        <f t="shared" si="276"/>
        <v>Ameliorants</v>
      </c>
      <c r="E376" s="176" t="s">
        <v>623</v>
      </c>
      <c r="F376" s="28" t="s">
        <v>299</v>
      </c>
      <c r="G376" s="70">
        <f t="shared" ref="G376:P376" si="279">G$271</f>
        <v>0</v>
      </c>
      <c r="H376" s="70">
        <f t="shared" si="279"/>
        <v>0</v>
      </c>
      <c r="I376" s="70">
        <f t="shared" si="279"/>
        <v>0</v>
      </c>
      <c r="J376" s="70">
        <f t="shared" si="279"/>
        <v>0</v>
      </c>
      <c r="K376" s="70">
        <f t="shared" si="279"/>
        <v>0</v>
      </c>
      <c r="L376" s="70">
        <f t="shared" si="279"/>
        <v>0</v>
      </c>
      <c r="M376" s="70">
        <f t="shared" si="279"/>
        <v>0</v>
      </c>
      <c r="N376" s="70">
        <f t="shared" si="279"/>
        <v>0</v>
      </c>
      <c r="O376" s="70">
        <f t="shared" si="279"/>
        <v>0</v>
      </c>
      <c r="P376" s="70">
        <f t="shared" si="279"/>
        <v>0</v>
      </c>
      <c r="Q376" s="397"/>
      <c r="R376" s="49"/>
    </row>
    <row r="377" spans="2:18" hidden="1">
      <c r="B377" s="94" t="s">
        <v>533</v>
      </c>
      <c r="C377" s="183"/>
      <c r="D377" s="160"/>
      <c r="E377" s="176" t="s">
        <v>624</v>
      </c>
      <c r="F377" s="28" t="s">
        <v>299</v>
      </c>
      <c r="G377" s="460"/>
      <c r="H377" s="460"/>
      <c r="I377" s="460"/>
      <c r="J377" s="460"/>
      <c r="K377" s="460"/>
      <c r="L377" s="460"/>
      <c r="M377" s="460"/>
      <c r="N377" s="460"/>
      <c r="O377" s="460"/>
      <c r="P377" s="460"/>
      <c r="Q377" s="397"/>
      <c r="R377" s="49"/>
    </row>
    <row r="378" spans="2:18" hidden="1">
      <c r="B378" s="94" t="s">
        <v>533</v>
      </c>
      <c r="C378" s="185"/>
      <c r="D378" s="157"/>
      <c r="E378" s="176" t="s">
        <v>625</v>
      </c>
      <c r="F378" s="28" t="s">
        <v>299</v>
      </c>
      <c r="G378" s="70">
        <f t="shared" ref="G378:P378" si="280">IF(G377="",G376,G377)</f>
        <v>0</v>
      </c>
      <c r="H378" s="70">
        <f t="shared" si="280"/>
        <v>0</v>
      </c>
      <c r="I378" s="70">
        <f t="shared" si="280"/>
        <v>0</v>
      </c>
      <c r="J378" s="70">
        <f t="shared" si="280"/>
        <v>0</v>
      </c>
      <c r="K378" s="70">
        <f t="shared" si="280"/>
        <v>0</v>
      </c>
      <c r="L378" s="70">
        <f t="shared" si="280"/>
        <v>0</v>
      </c>
      <c r="M378" s="70">
        <f t="shared" si="280"/>
        <v>0</v>
      </c>
      <c r="N378" s="70">
        <f t="shared" si="280"/>
        <v>0</v>
      </c>
      <c r="O378" s="70">
        <f t="shared" si="280"/>
        <v>0</v>
      </c>
      <c r="P378" s="70">
        <f t="shared" si="280"/>
        <v>0</v>
      </c>
      <c r="Q378" s="397"/>
      <c r="R378" s="49"/>
    </row>
    <row r="379" spans="2:18" ht="22.5" hidden="1">
      <c r="B379" s="94" t="s">
        <v>533</v>
      </c>
      <c r="C379" s="211" t="s">
        <v>659</v>
      </c>
      <c r="D379" s="119" t="str">
        <f t="shared" si="276"/>
        <v>Ameliorants</v>
      </c>
      <c r="E379" s="176" t="s">
        <v>623</v>
      </c>
      <c r="F379" s="28" t="s">
        <v>299</v>
      </c>
      <c r="G379" s="70">
        <f>G$301</f>
        <v>0</v>
      </c>
      <c r="H379" s="70">
        <f t="shared" ref="H379:P379" si="281">H$301</f>
        <v>0</v>
      </c>
      <c r="I379" s="70">
        <f t="shared" si="281"/>
        <v>0</v>
      </c>
      <c r="J379" s="70">
        <f t="shared" si="281"/>
        <v>0</v>
      </c>
      <c r="K379" s="70">
        <f t="shared" si="281"/>
        <v>0</v>
      </c>
      <c r="L379" s="70">
        <f t="shared" si="281"/>
        <v>0</v>
      </c>
      <c r="M379" s="70">
        <f t="shared" si="281"/>
        <v>0</v>
      </c>
      <c r="N379" s="70">
        <f t="shared" si="281"/>
        <v>0</v>
      </c>
      <c r="O379" s="70">
        <f t="shared" si="281"/>
        <v>0</v>
      </c>
      <c r="P379" s="70">
        <f t="shared" si="281"/>
        <v>0</v>
      </c>
      <c r="Q379" s="397"/>
      <c r="R379" s="49"/>
    </row>
    <row r="380" spans="2:18" hidden="1">
      <c r="B380" s="94" t="s">
        <v>533</v>
      </c>
      <c r="C380" s="183"/>
      <c r="D380" s="160"/>
      <c r="E380" s="176" t="s">
        <v>624</v>
      </c>
      <c r="F380" s="28" t="s">
        <v>299</v>
      </c>
      <c r="G380" s="460"/>
      <c r="H380" s="460"/>
      <c r="I380" s="460"/>
      <c r="J380" s="460"/>
      <c r="K380" s="460"/>
      <c r="L380" s="460"/>
      <c r="M380" s="460"/>
      <c r="N380" s="460"/>
      <c r="O380" s="460"/>
      <c r="P380" s="460"/>
      <c r="Q380" s="397"/>
      <c r="R380" s="49"/>
    </row>
    <row r="381" spans="2:18" hidden="1">
      <c r="B381" s="94" t="s">
        <v>533</v>
      </c>
      <c r="C381" s="185"/>
      <c r="D381" s="157"/>
      <c r="E381" s="176" t="s">
        <v>625</v>
      </c>
      <c r="F381" s="28" t="s">
        <v>299</v>
      </c>
      <c r="G381" s="70">
        <f t="shared" ref="G381:P381" si="282">IF(G380="",G379,G380)</f>
        <v>0</v>
      </c>
      <c r="H381" s="70">
        <f t="shared" si="282"/>
        <v>0</v>
      </c>
      <c r="I381" s="70">
        <f t="shared" si="282"/>
        <v>0</v>
      </c>
      <c r="J381" s="70">
        <f t="shared" si="282"/>
        <v>0</v>
      </c>
      <c r="K381" s="70">
        <f t="shared" si="282"/>
        <v>0</v>
      </c>
      <c r="L381" s="70">
        <f t="shared" si="282"/>
        <v>0</v>
      </c>
      <c r="M381" s="70">
        <f t="shared" si="282"/>
        <v>0</v>
      </c>
      <c r="N381" s="70">
        <f t="shared" si="282"/>
        <v>0</v>
      </c>
      <c r="O381" s="70">
        <f t="shared" si="282"/>
        <v>0</v>
      </c>
      <c r="P381" s="70">
        <f t="shared" si="282"/>
        <v>0</v>
      </c>
      <c r="Q381" s="397"/>
      <c r="R381" s="49"/>
    </row>
    <row r="382" spans="2:18" hidden="1">
      <c r="B382" s="94" t="s">
        <v>533</v>
      </c>
      <c r="C382" s="183" t="s">
        <v>660</v>
      </c>
      <c r="D382" s="157"/>
      <c r="E382" s="176" t="s">
        <v>303</v>
      </c>
      <c r="F382" s="28" t="s">
        <v>299</v>
      </c>
      <c r="G382" s="57">
        <f>G375+G378+G381</f>
        <v>0</v>
      </c>
      <c r="H382" s="57">
        <f t="shared" ref="H382:P382" si="283">H375+H378+H381</f>
        <v>0</v>
      </c>
      <c r="I382" s="57">
        <f t="shared" si="283"/>
        <v>0</v>
      </c>
      <c r="J382" s="57">
        <f t="shared" si="283"/>
        <v>0</v>
      </c>
      <c r="K382" s="57">
        <f t="shared" si="283"/>
        <v>0</v>
      </c>
      <c r="L382" s="57">
        <f t="shared" si="283"/>
        <v>0</v>
      </c>
      <c r="M382" s="57">
        <f t="shared" si="283"/>
        <v>0</v>
      </c>
      <c r="N382" s="57">
        <f t="shared" si="283"/>
        <v>0</v>
      </c>
      <c r="O382" s="57">
        <f t="shared" si="283"/>
        <v>0</v>
      </c>
      <c r="P382" s="57">
        <f t="shared" si="283"/>
        <v>0</v>
      </c>
      <c r="Q382" s="397"/>
      <c r="R382" s="27"/>
    </row>
    <row r="383" spans="2:18" ht="33.75" hidden="1">
      <c r="B383" s="94" t="s">
        <v>533</v>
      </c>
      <c r="C383" s="161" t="s">
        <v>344</v>
      </c>
      <c r="D383" s="119" t="s">
        <v>345</v>
      </c>
      <c r="E383" s="176" t="s">
        <v>333</v>
      </c>
      <c r="F383" s="28" t="s">
        <v>123</v>
      </c>
      <c r="G383" s="412" t="s">
        <v>346</v>
      </c>
      <c r="H383" s="412" t="s">
        <v>346</v>
      </c>
      <c r="I383" s="412" t="s">
        <v>347</v>
      </c>
      <c r="J383" s="412" t="s">
        <v>347</v>
      </c>
      <c r="K383" s="412" t="s">
        <v>348</v>
      </c>
      <c r="L383" s="412" t="s">
        <v>349</v>
      </c>
      <c r="M383" s="412" t="s">
        <v>661</v>
      </c>
      <c r="N383" s="412" t="s">
        <v>662</v>
      </c>
      <c r="O383" s="412" t="s">
        <v>350</v>
      </c>
      <c r="P383" s="412" t="s">
        <v>351</v>
      </c>
      <c r="Q383" s="397"/>
      <c r="R383" s="27"/>
    </row>
    <row r="384" spans="2:18" hidden="1">
      <c r="B384" s="94" t="s">
        <v>533</v>
      </c>
      <c r="C384" s="162"/>
      <c r="D384" s="160"/>
      <c r="E384" s="176" t="s">
        <v>227</v>
      </c>
      <c r="F384" s="28" t="s">
        <v>352</v>
      </c>
      <c r="G384" s="54">
        <f>_xlfn.XLOOKUP(G383,Rates_soil_seed_adds_names_R,Rates_soil_seed_adds_rates_R)</f>
        <v>150</v>
      </c>
      <c r="H384" s="54">
        <f t="shared" ref="H384:P384" si="284">_xlfn.XLOOKUP(H383,Rates_soil_seed_adds_names_R,Rates_soil_seed_adds_rates_R)</f>
        <v>150</v>
      </c>
      <c r="I384" s="54">
        <f t="shared" si="284"/>
        <v>350</v>
      </c>
      <c r="J384" s="54">
        <f t="shared" si="284"/>
        <v>350</v>
      </c>
      <c r="K384" s="54">
        <f t="shared" si="284"/>
        <v>5</v>
      </c>
      <c r="L384" s="54">
        <f t="shared" si="284"/>
        <v>15</v>
      </c>
      <c r="M384" s="54">
        <f t="shared" si="284"/>
        <v>17.647058823529413</v>
      </c>
      <c r="N384" s="54">
        <f t="shared" si="284"/>
        <v>920</v>
      </c>
      <c r="O384" s="54">
        <f t="shared" si="284"/>
        <v>17.647058823529413</v>
      </c>
      <c r="P384" s="54">
        <f t="shared" si="284"/>
        <v>920</v>
      </c>
      <c r="Q384" s="397"/>
      <c r="R384" s="27"/>
    </row>
    <row r="385" spans="2:18" hidden="1">
      <c r="B385" s="94" t="s">
        <v>533</v>
      </c>
      <c r="C385" s="162"/>
      <c r="D385" s="160"/>
      <c r="E385" s="176" t="s">
        <v>353</v>
      </c>
      <c r="G385" s="70" t="str">
        <f t="shared" ref="G385:P385" si="285">IF(G383=Arid,"",_xlfn.XLOOKUP(G383,Rates_soil_seed_adds_names_R,Rates_soil_seed_add_units_R))</f>
        <v>kg</v>
      </c>
      <c r="H385" s="70" t="str">
        <f t="shared" si="285"/>
        <v>kg</v>
      </c>
      <c r="I385" s="70" t="str">
        <f t="shared" si="285"/>
        <v>kg</v>
      </c>
      <c r="J385" s="70" t="str">
        <f t="shared" si="285"/>
        <v>kg</v>
      </c>
      <c r="K385" s="70" t="str">
        <f t="shared" si="285"/>
        <v>item</v>
      </c>
      <c r="L385" s="70" t="str">
        <f t="shared" si="285"/>
        <v>item</v>
      </c>
      <c r="M385" s="70" t="str">
        <f t="shared" si="285"/>
        <v>kg</v>
      </c>
      <c r="N385" s="70" t="str">
        <f t="shared" si="285"/>
        <v>kg</v>
      </c>
      <c r="O385" s="70" t="str">
        <f t="shared" si="285"/>
        <v>kg</v>
      </c>
      <c r="P385" s="70" t="str">
        <f t="shared" si="285"/>
        <v>kg</v>
      </c>
      <c r="Q385" s="397"/>
      <c r="R385" s="27"/>
    </row>
    <row r="386" spans="2:18" hidden="1">
      <c r="B386" s="94" t="s">
        <v>533</v>
      </c>
      <c r="C386" s="162"/>
      <c r="D386" s="160"/>
      <c r="E386" s="180" t="s">
        <v>229</v>
      </c>
      <c r="F386" s="28" t="s">
        <v>352</v>
      </c>
      <c r="G386" s="414"/>
      <c r="H386" s="414"/>
      <c r="I386" s="414"/>
      <c r="J386" s="414"/>
      <c r="K386" s="414"/>
      <c r="L386" s="414"/>
      <c r="M386" s="414"/>
      <c r="N386" s="414"/>
      <c r="O386" s="414"/>
      <c r="P386" s="414"/>
      <c r="Q386" s="397"/>
      <c r="R386" s="27"/>
    </row>
    <row r="387" spans="2:18" hidden="1">
      <c r="B387" s="94" t="s">
        <v>533</v>
      </c>
      <c r="C387" s="162"/>
      <c r="D387" s="160"/>
      <c r="E387" s="180" t="s">
        <v>320</v>
      </c>
      <c r="F387" s="28" t="s">
        <v>354</v>
      </c>
      <c r="G387" s="78">
        <f t="shared" ref="G387:P387" si="286">_xlfn.XLOOKUP(G383,Plant_and_seed_appln_rate_names_Assumptions,Plant_and_seed_appln_rates_rates_Assumptions)</f>
        <v>5</v>
      </c>
      <c r="H387" s="78">
        <f t="shared" si="286"/>
        <v>5</v>
      </c>
      <c r="I387" s="78">
        <f t="shared" si="286"/>
        <v>7</v>
      </c>
      <c r="J387" s="78">
        <f t="shared" si="286"/>
        <v>7</v>
      </c>
      <c r="K387" s="78">
        <f t="shared" si="286"/>
        <v>150</v>
      </c>
      <c r="L387" s="78">
        <f t="shared" si="286"/>
        <v>75</v>
      </c>
      <c r="M387" s="78">
        <f t="shared" si="286"/>
        <v>42.5</v>
      </c>
      <c r="N387" s="78">
        <f t="shared" si="286"/>
        <v>12.5</v>
      </c>
      <c r="O387" s="78">
        <f t="shared" si="286"/>
        <v>42.5</v>
      </c>
      <c r="P387" s="78">
        <f t="shared" si="286"/>
        <v>12.5</v>
      </c>
      <c r="Q387" s="397"/>
      <c r="R387" s="27"/>
    </row>
    <row r="388" spans="2:18" hidden="1">
      <c r="B388" s="94" t="s">
        <v>533</v>
      </c>
      <c r="C388" s="162"/>
      <c r="D388" s="160"/>
      <c r="E388" s="180" t="s">
        <v>355</v>
      </c>
      <c r="F388" s="28" t="s">
        <v>663</v>
      </c>
      <c r="G388" s="78">
        <f>G387*G382</f>
        <v>0</v>
      </c>
      <c r="H388" s="78">
        <f t="shared" ref="H388" si="287">H387*H382</f>
        <v>0</v>
      </c>
      <c r="I388" s="78">
        <f t="shared" ref="I388" si="288">I387*I382</f>
        <v>0</v>
      </c>
      <c r="J388" s="78">
        <f t="shared" ref="J388" si="289">J387*J382</f>
        <v>0</v>
      </c>
      <c r="K388" s="78">
        <f t="shared" ref="K388" si="290">K387*K382</f>
        <v>0</v>
      </c>
      <c r="L388" s="78">
        <f t="shared" ref="L388" si="291">L387*L382</f>
        <v>0</v>
      </c>
      <c r="M388" s="78">
        <f t="shared" ref="M388" si="292">M387*M382</f>
        <v>0</v>
      </c>
      <c r="N388" s="78">
        <f t="shared" ref="N388" si="293">N387*N382</f>
        <v>0</v>
      </c>
      <c r="O388" s="78">
        <f t="shared" ref="O388" si="294">O387*O382</f>
        <v>0</v>
      </c>
      <c r="P388" s="78">
        <f t="shared" ref="P388" si="295">P387*P382</f>
        <v>0</v>
      </c>
      <c r="Q388" s="397"/>
      <c r="R388" s="27"/>
    </row>
    <row r="389" spans="2:18" hidden="1">
      <c r="B389" s="94" t="s">
        <v>533</v>
      </c>
      <c r="C389" s="163"/>
      <c r="D389" s="160"/>
      <c r="E389" s="176" t="s">
        <v>146</v>
      </c>
      <c r="F389" s="28" t="s">
        <v>207</v>
      </c>
      <c r="G389" s="79">
        <f>IF(G386="",G384,G386)*G388</f>
        <v>0</v>
      </c>
      <c r="H389" s="79">
        <f t="shared" ref="H389:P389" si="296">IF(H386="",H384,H386)*H388</f>
        <v>0</v>
      </c>
      <c r="I389" s="79">
        <f t="shared" si="296"/>
        <v>0</v>
      </c>
      <c r="J389" s="79">
        <f t="shared" si="296"/>
        <v>0</v>
      </c>
      <c r="K389" s="79">
        <f t="shared" si="296"/>
        <v>0</v>
      </c>
      <c r="L389" s="79">
        <f t="shared" si="296"/>
        <v>0</v>
      </c>
      <c r="M389" s="79">
        <f t="shared" si="296"/>
        <v>0</v>
      </c>
      <c r="N389" s="79">
        <f t="shared" si="296"/>
        <v>0</v>
      </c>
      <c r="O389" s="79">
        <f t="shared" si="296"/>
        <v>0</v>
      </c>
      <c r="P389" s="79">
        <f t="shared" si="296"/>
        <v>0</v>
      </c>
      <c r="Q389" s="397"/>
      <c r="R389" s="27"/>
    </row>
    <row r="390" spans="2:18" ht="56.25" hidden="1">
      <c r="B390" s="94" t="s">
        <v>533</v>
      </c>
      <c r="C390" s="161" t="s">
        <v>356</v>
      </c>
      <c r="D390" s="160"/>
      <c r="E390" s="176" t="s">
        <v>357</v>
      </c>
      <c r="F390" s="28" t="s">
        <v>123</v>
      </c>
      <c r="G390" s="412" t="s">
        <v>358</v>
      </c>
      <c r="H390" s="412" t="s">
        <v>359</v>
      </c>
      <c r="I390" s="412" t="s">
        <v>360</v>
      </c>
      <c r="J390" s="412" t="s">
        <v>361</v>
      </c>
      <c r="K390" s="412" t="s">
        <v>362</v>
      </c>
      <c r="L390" s="412" t="s">
        <v>363</v>
      </c>
      <c r="M390" s="412" t="s">
        <v>664</v>
      </c>
      <c r="N390" s="412" t="s">
        <v>665</v>
      </c>
      <c r="O390" s="412" t="s">
        <v>364</v>
      </c>
      <c r="P390" s="412" t="s">
        <v>365</v>
      </c>
      <c r="Q390" s="397"/>
      <c r="R390" s="27" t="s">
        <v>366</v>
      </c>
    </row>
    <row r="391" spans="2:18" hidden="1">
      <c r="B391" s="94" t="s">
        <v>533</v>
      </c>
      <c r="C391" s="162"/>
      <c r="D391" s="160"/>
      <c r="E391" s="176" t="s">
        <v>227</v>
      </c>
      <c r="F391" s="28" t="s">
        <v>299</v>
      </c>
      <c r="G391" s="54">
        <f t="shared" ref="G391:P391" si="297">IF(G383=Arid,0,_xlfn.XLOOKUP(G390,Plant_and_seed_apply_plant_names_CS,Plant_and_seed_apply_plant_rates_CS))</f>
        <v>539.45026666666672</v>
      </c>
      <c r="H391" s="54">
        <f t="shared" si="297"/>
        <v>265.67200000000003</v>
      </c>
      <c r="I391" s="54">
        <f t="shared" si="297"/>
        <v>539.45026666666672</v>
      </c>
      <c r="J391" s="54">
        <f t="shared" si="297"/>
        <v>265.67200000000003</v>
      </c>
      <c r="K391" s="54">
        <f t="shared" si="297"/>
        <v>218.42099999999999</v>
      </c>
      <c r="L391" s="54">
        <f t="shared" si="297"/>
        <v>634.21050000000002</v>
      </c>
      <c r="M391" s="54">
        <f t="shared" si="297"/>
        <v>3960</v>
      </c>
      <c r="N391" s="54">
        <f t="shared" si="297"/>
        <v>3960</v>
      </c>
      <c r="O391" s="54">
        <f t="shared" si="297"/>
        <v>46000</v>
      </c>
      <c r="P391" s="54">
        <f t="shared" si="297"/>
        <v>46000</v>
      </c>
      <c r="Q391" s="397"/>
      <c r="R391" s="27"/>
    </row>
    <row r="392" spans="2:18" hidden="1">
      <c r="B392" s="94" t="s">
        <v>533</v>
      </c>
      <c r="C392" s="162"/>
      <c r="D392" s="160"/>
      <c r="E392" s="180" t="s">
        <v>229</v>
      </c>
      <c r="F392" s="28" t="s">
        <v>329</v>
      </c>
      <c r="G392" s="414"/>
      <c r="H392" s="414"/>
      <c r="I392" s="414"/>
      <c r="J392" s="414"/>
      <c r="K392" s="414"/>
      <c r="L392" s="414"/>
      <c r="M392" s="414"/>
      <c r="N392" s="414"/>
      <c r="O392" s="414"/>
      <c r="P392" s="414"/>
      <c r="Q392" s="397"/>
      <c r="R392" s="27"/>
    </row>
    <row r="393" spans="2:18" hidden="1">
      <c r="B393" s="94" t="s">
        <v>533</v>
      </c>
      <c r="C393" s="163"/>
      <c r="D393" s="160"/>
      <c r="E393" s="176" t="s">
        <v>146</v>
      </c>
      <c r="F393" s="28" t="s">
        <v>207</v>
      </c>
      <c r="G393" s="79">
        <f>G$382*IF(G392="",G391,G392)</f>
        <v>0</v>
      </c>
      <c r="H393" s="79">
        <f t="shared" ref="H393:P393" si="298">H$382*IF(H392="",H391,H392)</f>
        <v>0</v>
      </c>
      <c r="I393" s="79">
        <f t="shared" si="298"/>
        <v>0</v>
      </c>
      <c r="J393" s="79">
        <f t="shared" si="298"/>
        <v>0</v>
      </c>
      <c r="K393" s="79">
        <f t="shared" si="298"/>
        <v>0</v>
      </c>
      <c r="L393" s="79">
        <f t="shared" si="298"/>
        <v>0</v>
      </c>
      <c r="M393" s="79">
        <f t="shared" si="298"/>
        <v>0</v>
      </c>
      <c r="N393" s="79">
        <f t="shared" si="298"/>
        <v>0</v>
      </c>
      <c r="O393" s="79">
        <f t="shared" si="298"/>
        <v>0</v>
      </c>
      <c r="P393" s="79">
        <f t="shared" si="298"/>
        <v>0</v>
      </c>
      <c r="Q393" s="397"/>
      <c r="R393" s="27"/>
    </row>
    <row r="394" spans="2:18" ht="56.25" hidden="1">
      <c r="B394" s="94" t="s">
        <v>533</v>
      </c>
      <c r="C394" s="161" t="s">
        <v>367</v>
      </c>
      <c r="D394" s="160"/>
      <c r="E394" s="176" t="s">
        <v>357</v>
      </c>
      <c r="F394" s="28" t="s">
        <v>123</v>
      </c>
      <c r="G394" s="412" t="s">
        <v>368</v>
      </c>
      <c r="H394" s="412" t="s">
        <v>369</v>
      </c>
      <c r="I394" s="412" t="s">
        <v>370</v>
      </c>
      <c r="J394" s="412" t="s">
        <v>371</v>
      </c>
      <c r="K394" s="412" t="s">
        <v>372</v>
      </c>
      <c r="L394" s="412" t="s">
        <v>373</v>
      </c>
      <c r="M394" s="412" t="s">
        <v>666</v>
      </c>
      <c r="N394" s="412" t="s">
        <v>667</v>
      </c>
      <c r="O394" s="412" t="s">
        <v>374</v>
      </c>
      <c r="P394" s="412" t="s">
        <v>375</v>
      </c>
      <c r="Q394" s="397"/>
      <c r="R394" s="27"/>
    </row>
    <row r="395" spans="2:18" hidden="1">
      <c r="B395" s="94" t="s">
        <v>533</v>
      </c>
      <c r="C395" s="162"/>
      <c r="D395" s="160"/>
      <c r="E395" s="176" t="s">
        <v>227</v>
      </c>
      <c r="F395" s="28" t="s">
        <v>299</v>
      </c>
      <c r="G395" s="54">
        <f t="shared" ref="G395:P395" si="299">IF(G383=Arid,0,_xlfn.XLOOKUP(G394,Plant_and_seed_fertiliser_buy_names_CS,Plant_and_seed_fertiliser_buy_rates_CS))</f>
        <v>337.65264299999996</v>
      </c>
      <c r="H395" s="54">
        <f t="shared" si="299"/>
        <v>337.65264299999996</v>
      </c>
      <c r="I395" s="54">
        <f t="shared" si="299"/>
        <v>50</v>
      </c>
      <c r="J395" s="54">
        <f t="shared" si="299"/>
        <v>50</v>
      </c>
      <c r="K395" s="54">
        <f t="shared" si="299"/>
        <v>50</v>
      </c>
      <c r="L395" s="54">
        <f t="shared" si="299"/>
        <v>50</v>
      </c>
      <c r="M395" s="54">
        <f t="shared" si="299"/>
        <v>365.79036324999993</v>
      </c>
      <c r="N395" s="54">
        <f t="shared" si="299"/>
        <v>162.5</v>
      </c>
      <c r="O395" s="54">
        <f t="shared" si="299"/>
        <v>365.79036324999993</v>
      </c>
      <c r="P395" s="54">
        <f t="shared" si="299"/>
        <v>365.79036324999993</v>
      </c>
      <c r="Q395" s="397"/>
      <c r="R395" s="27"/>
    </row>
    <row r="396" spans="2:18" hidden="1">
      <c r="B396" s="94" t="s">
        <v>533</v>
      </c>
      <c r="C396" s="162"/>
      <c r="D396" s="160"/>
      <c r="E396" s="180" t="s">
        <v>229</v>
      </c>
      <c r="F396" s="28" t="s">
        <v>329</v>
      </c>
      <c r="G396" s="414"/>
      <c r="H396" s="414"/>
      <c r="I396" s="414"/>
      <c r="J396" s="414"/>
      <c r="K396" s="414"/>
      <c r="L396" s="414"/>
      <c r="M396" s="414"/>
      <c r="N396" s="414"/>
      <c r="O396" s="414"/>
      <c r="P396" s="414"/>
      <c r="Q396" s="397"/>
      <c r="R396" s="27"/>
    </row>
    <row r="397" spans="2:18" hidden="1">
      <c r="B397" s="94" t="s">
        <v>533</v>
      </c>
      <c r="C397" s="163"/>
      <c r="D397" s="160"/>
      <c r="E397" s="176" t="s">
        <v>146</v>
      </c>
      <c r="F397" s="28" t="s">
        <v>207</v>
      </c>
      <c r="G397" s="79">
        <f>G$382*IF(G396="",G395,G396)</f>
        <v>0</v>
      </c>
      <c r="H397" s="79">
        <f t="shared" ref="H397" si="300">H$382*IF(H396="",H395,H396)</f>
        <v>0</v>
      </c>
      <c r="I397" s="79">
        <f t="shared" ref="I397" si="301">I$382*IF(I396="",I395,I396)</f>
        <v>0</v>
      </c>
      <c r="J397" s="79">
        <f t="shared" ref="J397" si="302">J$382*IF(J396="",J395,J396)</f>
        <v>0</v>
      </c>
      <c r="K397" s="79">
        <f t="shared" ref="K397" si="303">K$382*IF(K396="",K395,K396)</f>
        <v>0</v>
      </c>
      <c r="L397" s="79">
        <f t="shared" ref="L397" si="304">L$382*IF(L396="",L395,L396)</f>
        <v>0</v>
      </c>
      <c r="M397" s="79">
        <f t="shared" ref="M397" si="305">M$382*IF(M396="",M395,M396)</f>
        <v>0</v>
      </c>
      <c r="N397" s="79">
        <f t="shared" ref="N397" si="306">N$382*IF(N396="",N395,N396)</f>
        <v>0</v>
      </c>
      <c r="O397" s="79">
        <f t="shared" ref="O397" si="307">O$382*IF(O396="",O395,O396)</f>
        <v>0</v>
      </c>
      <c r="P397" s="79">
        <f t="shared" ref="P397" si="308">P$382*IF(P396="",P395,P396)</f>
        <v>0</v>
      </c>
      <c r="Q397" s="397"/>
      <c r="R397" s="27"/>
    </row>
    <row r="398" spans="2:18" ht="56.25" hidden="1">
      <c r="B398" s="94" t="s">
        <v>533</v>
      </c>
      <c r="C398" s="161" t="s">
        <v>376</v>
      </c>
      <c r="D398" s="160"/>
      <c r="E398" s="176" t="s">
        <v>357</v>
      </c>
      <c r="F398" s="28" t="s">
        <v>123</v>
      </c>
      <c r="G398" s="412" t="s">
        <v>377</v>
      </c>
      <c r="H398" s="412" t="s">
        <v>378</v>
      </c>
      <c r="I398" s="412" t="s">
        <v>379</v>
      </c>
      <c r="J398" s="412" t="s">
        <v>380</v>
      </c>
      <c r="K398" s="412" t="s">
        <v>381</v>
      </c>
      <c r="L398" s="412" t="s">
        <v>382</v>
      </c>
      <c r="M398" s="412" t="s">
        <v>668</v>
      </c>
      <c r="N398" s="412" t="s">
        <v>669</v>
      </c>
      <c r="O398" s="412" t="s">
        <v>383</v>
      </c>
      <c r="P398" s="412" t="s">
        <v>384</v>
      </c>
      <c r="Q398" s="397"/>
      <c r="R398" s="27"/>
    </row>
    <row r="399" spans="2:18" hidden="1">
      <c r="B399" s="94" t="s">
        <v>533</v>
      </c>
      <c r="C399" s="162"/>
      <c r="D399" s="160"/>
      <c r="E399" s="176" t="s">
        <v>227</v>
      </c>
      <c r="F399" s="28" t="s">
        <v>299</v>
      </c>
      <c r="G399" s="54">
        <f t="shared" ref="G399:P399" si="309">IF(G383=Arid,0,_xlfn.XLOOKUP(G398,Plant_and_seed_apply_fertiliser_names_CS,Plant_and_seed_fertiliser_apply_rates_CS))</f>
        <v>151.0736</v>
      </c>
      <c r="H399" s="54">
        <f t="shared" si="309"/>
        <v>39.473333333333336</v>
      </c>
      <c r="I399" s="54">
        <f t="shared" si="309"/>
        <v>151.0736</v>
      </c>
      <c r="J399" s="54">
        <f t="shared" si="309"/>
        <v>39.473333333333336</v>
      </c>
      <c r="K399" s="54">
        <f t="shared" si="309"/>
        <v>9.4736000000000011</v>
      </c>
      <c r="L399" s="54">
        <f t="shared" si="309"/>
        <v>9.4736000000000011</v>
      </c>
      <c r="M399" s="54">
        <f t="shared" si="309"/>
        <v>0</v>
      </c>
      <c r="N399" s="54">
        <f t="shared" si="309"/>
        <v>0</v>
      </c>
      <c r="O399" s="54">
        <f t="shared" si="309"/>
        <v>0</v>
      </c>
      <c r="P399" s="54">
        <f t="shared" si="309"/>
        <v>0</v>
      </c>
      <c r="Q399" s="397"/>
      <c r="R399" s="27" t="s">
        <v>385</v>
      </c>
    </row>
    <row r="400" spans="2:18" hidden="1">
      <c r="B400" s="94" t="s">
        <v>533</v>
      </c>
      <c r="C400" s="162"/>
      <c r="D400" s="160"/>
      <c r="E400" s="180" t="s">
        <v>229</v>
      </c>
      <c r="F400" s="28" t="s">
        <v>329</v>
      </c>
      <c r="G400" s="414"/>
      <c r="H400" s="414"/>
      <c r="I400" s="414"/>
      <c r="J400" s="414"/>
      <c r="K400" s="414"/>
      <c r="L400" s="414"/>
      <c r="M400" s="414"/>
      <c r="N400" s="414"/>
      <c r="O400" s="414"/>
      <c r="P400" s="414"/>
      <c r="Q400" s="397"/>
      <c r="R400" s="27"/>
    </row>
    <row r="401" spans="2:18" hidden="1">
      <c r="B401" s="94" t="s">
        <v>533</v>
      </c>
      <c r="C401" s="163"/>
      <c r="D401" s="160"/>
      <c r="E401" s="176" t="s">
        <v>146</v>
      </c>
      <c r="F401" s="28" t="s">
        <v>207</v>
      </c>
      <c r="G401" s="79">
        <f>G$382*IF(G400="",G399,G400)</f>
        <v>0</v>
      </c>
      <c r="H401" s="79">
        <f t="shared" ref="H401" si="310">H$382*IF(H400="",H399,H400)</f>
        <v>0</v>
      </c>
      <c r="I401" s="79">
        <f t="shared" ref="I401" si="311">I$382*IF(I400="",I399,I400)</f>
        <v>0</v>
      </c>
      <c r="J401" s="79">
        <f t="shared" ref="J401" si="312">J$382*IF(J400="",J399,J400)</f>
        <v>0</v>
      </c>
      <c r="K401" s="79">
        <f t="shared" ref="K401" si="313">K$382*IF(K400="",K399,K400)</f>
        <v>0</v>
      </c>
      <c r="L401" s="79">
        <f t="shared" ref="L401" si="314">L$382*IF(L400="",L399,L400)</f>
        <v>0</v>
      </c>
      <c r="M401" s="79">
        <f t="shared" ref="M401" si="315">M$382*IF(M400="",M399,M400)</f>
        <v>0</v>
      </c>
      <c r="N401" s="79">
        <f t="shared" ref="N401" si="316">N$382*IF(N400="",N399,N400)</f>
        <v>0</v>
      </c>
      <c r="O401" s="79">
        <f t="shared" ref="O401" si="317">O$382*IF(O400="",O399,O400)</f>
        <v>0</v>
      </c>
      <c r="P401" s="79">
        <f t="shared" ref="P401" si="318">P$382*IF(P400="",P399,P400)</f>
        <v>0</v>
      </c>
      <c r="Q401" s="397"/>
      <c r="R401" s="27"/>
    </row>
    <row r="402" spans="2:18" ht="45" hidden="1">
      <c r="B402" s="94" t="s">
        <v>533</v>
      </c>
      <c r="C402" s="161" t="s">
        <v>386</v>
      </c>
      <c r="D402" s="160"/>
      <c r="E402" s="176" t="s">
        <v>357</v>
      </c>
      <c r="F402" s="28" t="s">
        <v>123</v>
      </c>
      <c r="G402" s="412" t="s">
        <v>387</v>
      </c>
      <c r="H402" s="412" t="s">
        <v>388</v>
      </c>
      <c r="I402" s="412" t="s">
        <v>389</v>
      </c>
      <c r="J402" s="412" t="s">
        <v>390</v>
      </c>
      <c r="K402" s="412" t="s">
        <v>391</v>
      </c>
      <c r="L402" s="412" t="s">
        <v>392</v>
      </c>
      <c r="M402" s="412" t="s">
        <v>393</v>
      </c>
      <c r="N402" s="412" t="s">
        <v>670</v>
      </c>
      <c r="O402" s="412" t="s">
        <v>393</v>
      </c>
      <c r="P402" s="412" t="s">
        <v>394</v>
      </c>
      <c r="Q402" s="397"/>
      <c r="R402" s="27"/>
    </row>
    <row r="403" spans="2:18" hidden="1">
      <c r="B403" s="94" t="s">
        <v>533</v>
      </c>
      <c r="C403" s="162"/>
      <c r="D403" s="160"/>
      <c r="E403" s="176" t="s">
        <v>227</v>
      </c>
      <c r="F403" s="28" t="s">
        <v>299</v>
      </c>
      <c r="G403" s="54">
        <f t="shared" ref="G403:P403" si="319">IF(G383=Arid,0,_xlfn.XLOOKUP(G402,Plant_and_seed_buy_water_names_CS,Plant_and_seed_water_buy_rates_CS))</f>
        <v>1200</v>
      </c>
      <c r="H403" s="54">
        <f t="shared" si="319"/>
        <v>1200</v>
      </c>
      <c r="I403" s="54">
        <f t="shared" si="319"/>
        <v>1200</v>
      </c>
      <c r="J403" s="54">
        <f t="shared" si="319"/>
        <v>1200</v>
      </c>
      <c r="K403" s="54">
        <f t="shared" si="319"/>
        <v>100</v>
      </c>
      <c r="L403" s="54">
        <f t="shared" si="319"/>
        <v>100</v>
      </c>
      <c r="M403" s="54">
        <f t="shared" si="319"/>
        <v>600</v>
      </c>
      <c r="N403" s="54">
        <f t="shared" si="319"/>
        <v>600</v>
      </c>
      <c r="O403" s="54">
        <f t="shared" si="319"/>
        <v>600</v>
      </c>
      <c r="P403" s="54">
        <f t="shared" si="319"/>
        <v>1200</v>
      </c>
      <c r="Q403" s="397"/>
      <c r="R403" s="27" t="s">
        <v>395</v>
      </c>
    </row>
    <row r="404" spans="2:18" hidden="1">
      <c r="B404" s="94" t="s">
        <v>533</v>
      </c>
      <c r="C404" s="162"/>
      <c r="D404" s="160"/>
      <c r="E404" s="180" t="s">
        <v>229</v>
      </c>
      <c r="F404" s="28" t="s">
        <v>329</v>
      </c>
      <c r="G404" s="414"/>
      <c r="H404" s="414"/>
      <c r="I404" s="414"/>
      <c r="J404" s="414"/>
      <c r="K404" s="414"/>
      <c r="L404" s="414"/>
      <c r="M404" s="414"/>
      <c r="N404" s="414"/>
      <c r="O404" s="414"/>
      <c r="P404" s="414"/>
      <c r="Q404" s="397"/>
      <c r="R404" s="27"/>
    </row>
    <row r="405" spans="2:18" hidden="1">
      <c r="B405" s="94" t="s">
        <v>533</v>
      </c>
      <c r="C405" s="163"/>
      <c r="D405" s="160"/>
      <c r="E405" s="176" t="s">
        <v>146</v>
      </c>
      <c r="F405" s="28" t="s">
        <v>207</v>
      </c>
      <c r="G405" s="79">
        <f>G$382*IF(G404="",G403,G404)</f>
        <v>0</v>
      </c>
      <c r="H405" s="79">
        <f t="shared" ref="H405" si="320">H$382*IF(H404="",H403,H404)</f>
        <v>0</v>
      </c>
      <c r="I405" s="79">
        <f t="shared" ref="I405" si="321">I$382*IF(I404="",I403,I404)</f>
        <v>0</v>
      </c>
      <c r="J405" s="79">
        <f t="shared" ref="J405" si="322">J$382*IF(J404="",J403,J404)</f>
        <v>0</v>
      </c>
      <c r="K405" s="79">
        <f t="shared" ref="K405" si="323">K$382*IF(K404="",K403,K404)</f>
        <v>0</v>
      </c>
      <c r="L405" s="79">
        <f t="shared" ref="L405" si="324">L$382*IF(L404="",L403,L404)</f>
        <v>0</v>
      </c>
      <c r="M405" s="79">
        <f t="shared" ref="M405" si="325">M$382*IF(M404="",M403,M404)</f>
        <v>0</v>
      </c>
      <c r="N405" s="79">
        <f t="shared" ref="N405" si="326">N$382*IF(N404="",N403,N404)</f>
        <v>0</v>
      </c>
      <c r="O405" s="79">
        <f t="shared" ref="O405" si="327">O$382*IF(O404="",O403,O404)</f>
        <v>0</v>
      </c>
      <c r="P405" s="79">
        <f t="shared" ref="P405" si="328">P$382*IF(P404="",P403,P404)</f>
        <v>0</v>
      </c>
      <c r="Q405" s="397"/>
      <c r="R405" s="27"/>
    </row>
    <row r="406" spans="2:18" ht="56.25" hidden="1">
      <c r="B406" s="94" t="s">
        <v>533</v>
      </c>
      <c r="C406" s="161" t="s">
        <v>396</v>
      </c>
      <c r="D406" s="160"/>
      <c r="E406" s="176" t="s">
        <v>357</v>
      </c>
      <c r="F406" s="28" t="s">
        <v>123</v>
      </c>
      <c r="G406" s="412" t="s">
        <v>397</v>
      </c>
      <c r="H406" s="412" t="s">
        <v>398</v>
      </c>
      <c r="I406" s="412" t="s">
        <v>399</v>
      </c>
      <c r="J406" s="412" t="s">
        <v>400</v>
      </c>
      <c r="K406" s="412" t="s">
        <v>401</v>
      </c>
      <c r="L406" s="412" t="s">
        <v>402</v>
      </c>
      <c r="M406" s="412" t="s">
        <v>671</v>
      </c>
      <c r="N406" s="412" t="s">
        <v>672</v>
      </c>
      <c r="O406" s="412" t="s">
        <v>403</v>
      </c>
      <c r="P406" s="412" t="s">
        <v>404</v>
      </c>
      <c r="Q406" s="397"/>
      <c r="R406" s="27"/>
    </row>
    <row r="407" spans="2:18" hidden="1">
      <c r="B407" s="94" t="s">
        <v>533</v>
      </c>
      <c r="C407" s="162"/>
      <c r="D407" s="160"/>
      <c r="E407" s="176" t="s">
        <v>227</v>
      </c>
      <c r="F407" s="28" t="s">
        <v>299</v>
      </c>
      <c r="G407" s="54">
        <f t="shared" ref="G407:P407" si="329">IF(G383=Arid,0,_xlfn.XLOOKUP(G406,Plant_and_seed_apply_water_names_CS,Plant_and_seed_apply_water_rates_CS))</f>
        <v>167.66666666666666</v>
      </c>
      <c r="H407" s="54">
        <f t="shared" si="329"/>
        <v>167.66666666666666</v>
      </c>
      <c r="I407" s="54">
        <f t="shared" si="329"/>
        <v>167.66666666666666</v>
      </c>
      <c r="J407" s="54">
        <f t="shared" si="329"/>
        <v>167.66666666666666</v>
      </c>
      <c r="K407" s="54">
        <f t="shared" si="329"/>
        <v>167.66666666666666</v>
      </c>
      <c r="L407" s="54">
        <f t="shared" si="329"/>
        <v>167.66666666666666</v>
      </c>
      <c r="M407" s="54">
        <f t="shared" si="329"/>
        <v>188.625</v>
      </c>
      <c r="N407" s="54">
        <f t="shared" si="329"/>
        <v>188.625</v>
      </c>
      <c r="O407" s="54">
        <f t="shared" si="329"/>
        <v>18.862500000000001</v>
      </c>
      <c r="P407" s="54">
        <f t="shared" si="329"/>
        <v>18.862500000000001</v>
      </c>
      <c r="Q407" s="397"/>
      <c r="R407" s="27" t="s">
        <v>405</v>
      </c>
    </row>
    <row r="408" spans="2:18" hidden="1">
      <c r="B408" s="94" t="s">
        <v>533</v>
      </c>
      <c r="C408" s="162"/>
      <c r="D408" s="160"/>
      <c r="E408" s="180" t="s">
        <v>229</v>
      </c>
      <c r="F408" s="28" t="s">
        <v>329</v>
      </c>
      <c r="G408" s="414"/>
      <c r="H408" s="414"/>
      <c r="I408" s="414"/>
      <c r="J408" s="414"/>
      <c r="K408" s="414"/>
      <c r="L408" s="414"/>
      <c r="M408" s="414"/>
      <c r="N408" s="414"/>
      <c r="O408" s="414"/>
      <c r="P408" s="414"/>
      <c r="Q408" s="397"/>
      <c r="R408" s="27"/>
    </row>
    <row r="409" spans="2:18" hidden="1">
      <c r="B409" s="94" t="s">
        <v>533</v>
      </c>
      <c r="C409" s="163"/>
      <c r="D409" s="157"/>
      <c r="E409" s="176" t="s">
        <v>146</v>
      </c>
      <c r="F409" s="28" t="s">
        <v>207</v>
      </c>
      <c r="G409" s="79">
        <f>G$382*IF(G408="",G407,G408)</f>
        <v>0</v>
      </c>
      <c r="H409" s="79">
        <f t="shared" ref="H409" si="330">H$382*IF(H408="",H407,H408)</f>
        <v>0</v>
      </c>
      <c r="I409" s="79">
        <f t="shared" ref="I409" si="331">I$382*IF(I408="",I407,I408)</f>
        <v>0</v>
      </c>
      <c r="J409" s="79">
        <f t="shared" ref="J409" si="332">J$382*IF(J408="",J407,J408)</f>
        <v>0</v>
      </c>
      <c r="K409" s="79">
        <f t="shared" ref="K409" si="333">K$382*IF(K408="",K407,K408)</f>
        <v>0</v>
      </c>
      <c r="L409" s="79">
        <f t="shared" ref="L409" si="334">L$382*IF(L408="",L407,L408)</f>
        <v>0</v>
      </c>
      <c r="M409" s="79">
        <f t="shared" ref="M409" si="335">M$382*IF(M408="",M407,M408)</f>
        <v>0</v>
      </c>
      <c r="N409" s="79">
        <f t="shared" ref="N409" si="336">N$382*IF(N408="",N407,N408)</f>
        <v>0</v>
      </c>
      <c r="O409" s="79">
        <f t="shared" ref="O409" si="337">O$382*IF(O408="",O407,O408)</f>
        <v>0</v>
      </c>
      <c r="P409" s="79">
        <f t="shared" ref="P409" si="338">P$382*IF(P408="",P407,P408)</f>
        <v>0</v>
      </c>
      <c r="Q409" s="397"/>
      <c r="R409" s="27"/>
    </row>
    <row r="410" spans="2:18" ht="12" hidden="1" thickBot="1">
      <c r="B410" s="94" t="s">
        <v>533</v>
      </c>
      <c r="C410" s="188"/>
      <c r="D410" s="188"/>
      <c r="E410" s="205" t="e">
        <f>#REF!</f>
        <v>#REF!</v>
      </c>
      <c r="F410" s="72"/>
      <c r="G410" s="64">
        <f>G389+G393+G397+G401+G405+G409</f>
        <v>0</v>
      </c>
      <c r="H410" s="64">
        <f t="shared" ref="H410" si="339">H389+H393+H397+H401+H405+H409</f>
        <v>0</v>
      </c>
      <c r="I410" s="64">
        <f t="shared" ref="I410" si="340">I389+I393+I397+I401+I405+I409</f>
        <v>0</v>
      </c>
      <c r="J410" s="64">
        <f t="shared" ref="J410" si="341">J389+J393+J397+J401+J405+J409</f>
        <v>0</v>
      </c>
      <c r="K410" s="64">
        <f t="shared" ref="K410" si="342">K389+K393+K397+K401+K405+K409</f>
        <v>0</v>
      </c>
      <c r="L410" s="64">
        <f t="shared" ref="L410" si="343">L389+L393+L397+L401+L405+L409</f>
        <v>0</v>
      </c>
      <c r="M410" s="64">
        <f t="shared" ref="M410" si="344">M389+M393+M397+M401+M405+M409</f>
        <v>0</v>
      </c>
      <c r="N410" s="64">
        <f t="shared" ref="N410" si="345">N389+N393+N397+N401+N405+N409</f>
        <v>0</v>
      </c>
      <c r="O410" s="64">
        <f t="shared" ref="O410" si="346">O389+O393+O397+O401+O405+O409</f>
        <v>0</v>
      </c>
      <c r="P410" s="64">
        <f t="shared" ref="P410" si="347">P389+P393+P397+P401+P405+P409</f>
        <v>0</v>
      </c>
      <c r="Q410" s="397"/>
      <c r="R410" s="27"/>
    </row>
    <row r="411" spans="2:18" ht="22.5" hidden="1">
      <c r="B411" s="94" t="s">
        <v>533</v>
      </c>
      <c r="C411" s="211" t="s">
        <v>673</v>
      </c>
      <c r="D411" s="118" t="s">
        <v>674</v>
      </c>
      <c r="E411" s="182" t="s">
        <v>355</v>
      </c>
      <c r="F411" s="28" t="s">
        <v>199</v>
      </c>
      <c r="G411" s="471"/>
      <c r="H411" s="471"/>
      <c r="I411" s="471"/>
      <c r="J411" s="471"/>
      <c r="K411" s="471"/>
      <c r="L411" s="471"/>
      <c r="M411" s="471"/>
      <c r="N411" s="471"/>
      <c r="O411" s="471"/>
      <c r="P411" s="471"/>
      <c r="Q411" s="397"/>
      <c r="R411" s="49"/>
    </row>
    <row r="412" spans="2:18" hidden="1">
      <c r="B412" s="94" t="s">
        <v>533</v>
      </c>
      <c r="C412" s="183"/>
      <c r="D412" s="189"/>
      <c r="E412" s="182" t="s">
        <v>213</v>
      </c>
      <c r="F412" s="28" t="s">
        <v>613</v>
      </c>
      <c r="G412" s="471"/>
      <c r="H412" s="471"/>
      <c r="I412" s="471"/>
      <c r="J412" s="471"/>
      <c r="K412" s="471"/>
      <c r="L412" s="471"/>
      <c r="M412" s="471"/>
      <c r="N412" s="471"/>
      <c r="O412" s="471"/>
      <c r="P412" s="471"/>
      <c r="Q412" s="397"/>
      <c r="R412" s="49"/>
    </row>
    <row r="413" spans="2:18" hidden="1">
      <c r="B413" s="94" t="s">
        <v>533</v>
      </c>
      <c r="C413" s="183"/>
      <c r="D413" s="189"/>
      <c r="E413" s="182" t="s">
        <v>214</v>
      </c>
      <c r="F413" s="28" t="s">
        <v>215</v>
      </c>
      <c r="G413" s="111">
        <f t="shared" ref="G413:P413" si="348">PI()*(G412/Conv_mm_in_metres)^2/4</f>
        <v>0</v>
      </c>
      <c r="H413" s="111">
        <f t="shared" si="348"/>
        <v>0</v>
      </c>
      <c r="I413" s="111">
        <f t="shared" si="348"/>
        <v>0</v>
      </c>
      <c r="J413" s="111">
        <f t="shared" si="348"/>
        <v>0</v>
      </c>
      <c r="K413" s="111">
        <f t="shared" si="348"/>
        <v>0</v>
      </c>
      <c r="L413" s="111">
        <f t="shared" si="348"/>
        <v>0</v>
      </c>
      <c r="M413" s="111">
        <f t="shared" si="348"/>
        <v>0</v>
      </c>
      <c r="N413" s="111">
        <f t="shared" si="348"/>
        <v>0</v>
      </c>
      <c r="O413" s="111">
        <f t="shared" si="348"/>
        <v>0</v>
      </c>
      <c r="P413" s="111">
        <f t="shared" si="348"/>
        <v>0</v>
      </c>
      <c r="Q413" s="397"/>
      <c r="R413" s="49"/>
    </row>
    <row r="414" spans="2:18" hidden="1">
      <c r="B414" s="94" t="s">
        <v>533</v>
      </c>
      <c r="C414" s="183"/>
      <c r="D414" s="189"/>
      <c r="E414" s="182" t="s">
        <v>675</v>
      </c>
      <c r="F414" s="28" t="s">
        <v>211</v>
      </c>
      <c r="G414" s="471"/>
      <c r="H414" s="471"/>
      <c r="I414" s="471"/>
      <c r="J414" s="471"/>
      <c r="K414" s="471"/>
      <c r="L414" s="471"/>
      <c r="M414" s="471"/>
      <c r="N414" s="471"/>
      <c r="O414" s="471"/>
      <c r="P414" s="471"/>
      <c r="Q414" s="397"/>
      <c r="R414" s="49"/>
    </row>
    <row r="415" spans="2:18" hidden="1">
      <c r="B415" s="94" t="s">
        <v>533</v>
      </c>
      <c r="C415" s="183"/>
      <c r="D415" s="189"/>
      <c r="E415" s="182" t="s">
        <v>676</v>
      </c>
      <c r="F415" s="28" t="s">
        <v>223</v>
      </c>
      <c r="G415" s="471"/>
      <c r="H415" s="471"/>
      <c r="I415" s="471"/>
      <c r="J415" s="471"/>
      <c r="K415" s="471"/>
      <c r="L415" s="471"/>
      <c r="M415" s="471"/>
      <c r="N415" s="471"/>
      <c r="O415" s="471"/>
      <c r="P415" s="471"/>
      <c r="Q415" s="397"/>
      <c r="R415" s="49"/>
    </row>
    <row r="416" spans="2:18" hidden="1">
      <c r="B416" s="94" t="s">
        <v>533</v>
      </c>
      <c r="C416" s="183"/>
      <c r="D416" s="189"/>
      <c r="E416" s="182" t="s">
        <v>677</v>
      </c>
      <c r="F416" s="28" t="s">
        <v>678</v>
      </c>
      <c r="G416" s="112">
        <f>G413*G414*(1+G415)</f>
        <v>0</v>
      </c>
      <c r="H416" s="112">
        <f t="shared" ref="H416:P416" si="349">H413*H414*(1+H415)</f>
        <v>0</v>
      </c>
      <c r="I416" s="112">
        <f t="shared" si="349"/>
        <v>0</v>
      </c>
      <c r="J416" s="112">
        <f t="shared" si="349"/>
        <v>0</v>
      </c>
      <c r="K416" s="112">
        <f t="shared" si="349"/>
        <v>0</v>
      </c>
      <c r="L416" s="112">
        <f t="shared" si="349"/>
        <v>0</v>
      </c>
      <c r="M416" s="112">
        <f t="shared" si="349"/>
        <v>0</v>
      </c>
      <c r="N416" s="112">
        <f t="shared" si="349"/>
        <v>0</v>
      </c>
      <c r="O416" s="112">
        <f t="shared" si="349"/>
        <v>0</v>
      </c>
      <c r="P416" s="112">
        <f t="shared" si="349"/>
        <v>0</v>
      </c>
      <c r="Q416" s="397"/>
      <c r="R416" s="49"/>
    </row>
    <row r="417" spans="2:18" hidden="1">
      <c r="B417" s="94" t="s">
        <v>533</v>
      </c>
      <c r="C417" s="183"/>
      <c r="D417" s="189"/>
      <c r="E417" s="182" t="s">
        <v>679</v>
      </c>
      <c r="F417" s="28" t="s">
        <v>680</v>
      </c>
      <c r="G417" s="112">
        <f>G416/Productivity!$D$54</f>
        <v>0</v>
      </c>
      <c r="H417" s="112">
        <f>H416/Productivity!$D$54</f>
        <v>0</v>
      </c>
      <c r="I417" s="112">
        <f>I416/Productivity!$D$54</f>
        <v>0</v>
      </c>
      <c r="J417" s="112">
        <f>J416/Productivity!$D$54</f>
        <v>0</v>
      </c>
      <c r="K417" s="112">
        <f>K416/Productivity!$D$54</f>
        <v>0</v>
      </c>
      <c r="L417" s="112">
        <f>L416/Productivity!$D$54</f>
        <v>0</v>
      </c>
      <c r="M417" s="112">
        <f>M416/Productivity!$D$54</f>
        <v>0</v>
      </c>
      <c r="N417" s="112">
        <f>N416/Productivity!$D$54</f>
        <v>0</v>
      </c>
      <c r="O417" s="112">
        <f>O416/Productivity!$D$54</f>
        <v>0</v>
      </c>
      <c r="P417" s="112">
        <f>P416/Productivity!$D$54</f>
        <v>0</v>
      </c>
      <c r="Q417" s="397"/>
      <c r="R417" s="49"/>
    </row>
    <row r="418" spans="2:18" hidden="1">
      <c r="B418" s="94" t="s">
        <v>533</v>
      </c>
      <c r="C418" s="183"/>
      <c r="D418" s="189"/>
      <c r="E418" s="182" t="s">
        <v>681</v>
      </c>
      <c r="F418" s="28" t="s">
        <v>680</v>
      </c>
      <c r="G418" s="471"/>
      <c r="H418" s="471"/>
      <c r="I418" s="471"/>
      <c r="J418" s="471"/>
      <c r="K418" s="471"/>
      <c r="L418" s="471"/>
      <c r="M418" s="471"/>
      <c r="N418" s="471"/>
      <c r="O418" s="471"/>
      <c r="P418" s="471"/>
      <c r="Q418" s="397"/>
      <c r="R418" s="49"/>
    </row>
    <row r="419" spans="2:18" hidden="1">
      <c r="B419" s="94" t="s">
        <v>533</v>
      </c>
      <c r="C419" s="183"/>
      <c r="D419" s="189"/>
      <c r="E419" s="182" t="s">
        <v>682</v>
      </c>
      <c r="F419" s="28" t="s">
        <v>680</v>
      </c>
      <c r="G419" s="112">
        <f>G417+G418</f>
        <v>0</v>
      </c>
      <c r="H419" s="112">
        <f t="shared" ref="H419:P419" si="350">H417+H418</f>
        <v>0</v>
      </c>
      <c r="I419" s="112">
        <f t="shared" si="350"/>
        <v>0</v>
      </c>
      <c r="J419" s="112">
        <f t="shared" si="350"/>
        <v>0</v>
      </c>
      <c r="K419" s="112">
        <f t="shared" si="350"/>
        <v>0</v>
      </c>
      <c r="L419" s="112">
        <f t="shared" si="350"/>
        <v>0</v>
      </c>
      <c r="M419" s="112">
        <f t="shared" si="350"/>
        <v>0</v>
      </c>
      <c r="N419" s="112">
        <f t="shared" si="350"/>
        <v>0</v>
      </c>
      <c r="O419" s="112">
        <f t="shared" si="350"/>
        <v>0</v>
      </c>
      <c r="P419" s="112">
        <f t="shared" si="350"/>
        <v>0</v>
      </c>
      <c r="Q419" s="397"/>
      <c r="R419" s="49"/>
    </row>
    <row r="420" spans="2:18" hidden="1">
      <c r="B420" s="94" t="s">
        <v>533</v>
      </c>
      <c r="C420" s="183"/>
      <c r="D420" s="189"/>
      <c r="E420" s="182" t="s">
        <v>683</v>
      </c>
      <c r="F420" s="28" t="s">
        <v>684</v>
      </c>
      <c r="G420" s="54">
        <f t="shared" ref="G420:P420" si="351">Drillrig_Geoprobe_rate/hours_per_day</f>
        <v>300</v>
      </c>
      <c r="H420" s="54">
        <f t="shared" si="351"/>
        <v>300</v>
      </c>
      <c r="I420" s="54">
        <f t="shared" si="351"/>
        <v>300</v>
      </c>
      <c r="J420" s="54">
        <f t="shared" si="351"/>
        <v>300</v>
      </c>
      <c r="K420" s="54">
        <f t="shared" si="351"/>
        <v>300</v>
      </c>
      <c r="L420" s="54">
        <f t="shared" si="351"/>
        <v>300</v>
      </c>
      <c r="M420" s="54">
        <f t="shared" si="351"/>
        <v>300</v>
      </c>
      <c r="N420" s="54">
        <f t="shared" si="351"/>
        <v>300</v>
      </c>
      <c r="O420" s="54">
        <f t="shared" si="351"/>
        <v>300</v>
      </c>
      <c r="P420" s="54">
        <f t="shared" si="351"/>
        <v>300</v>
      </c>
      <c r="Q420" s="397"/>
      <c r="R420" s="55"/>
    </row>
    <row r="421" spans="2:18" hidden="1">
      <c r="B421" s="94" t="s">
        <v>533</v>
      </c>
      <c r="C421" s="183"/>
      <c r="D421" s="189"/>
      <c r="E421" s="182" t="s">
        <v>685</v>
      </c>
      <c r="F421" s="28" t="s">
        <v>684</v>
      </c>
      <c r="G421" s="414"/>
      <c r="H421" s="414"/>
      <c r="I421" s="414"/>
      <c r="J421" s="414"/>
      <c r="K421" s="414"/>
      <c r="L421" s="414"/>
      <c r="M421" s="414"/>
      <c r="N421" s="414"/>
      <c r="O421" s="414"/>
      <c r="P421" s="414"/>
      <c r="Q421" s="397"/>
      <c r="R421" s="49"/>
    </row>
    <row r="422" spans="2:18" hidden="1">
      <c r="B422" s="94" t="s">
        <v>533</v>
      </c>
      <c r="C422" s="183"/>
      <c r="D422" s="189"/>
      <c r="E422" s="182" t="s">
        <v>686</v>
      </c>
      <c r="F422" s="28" t="s">
        <v>236</v>
      </c>
      <c r="G422" s="136">
        <f>IF(G421="",G420,G421)*G419</f>
        <v>0</v>
      </c>
      <c r="H422" s="136">
        <f t="shared" ref="H422:P422" si="352">IF(H421="",H420,H421)*H419</f>
        <v>0</v>
      </c>
      <c r="I422" s="136">
        <f t="shared" si="352"/>
        <v>0</v>
      </c>
      <c r="J422" s="136">
        <f t="shared" si="352"/>
        <v>0</v>
      </c>
      <c r="K422" s="136">
        <f t="shared" si="352"/>
        <v>0</v>
      </c>
      <c r="L422" s="136">
        <f t="shared" si="352"/>
        <v>0</v>
      </c>
      <c r="M422" s="136">
        <f t="shared" si="352"/>
        <v>0</v>
      </c>
      <c r="N422" s="136">
        <f t="shared" si="352"/>
        <v>0</v>
      </c>
      <c r="O422" s="136">
        <f t="shared" si="352"/>
        <v>0</v>
      </c>
      <c r="P422" s="136">
        <f t="shared" si="352"/>
        <v>0</v>
      </c>
      <c r="Q422" s="397"/>
      <c r="R422" s="49"/>
    </row>
    <row r="423" spans="2:18" hidden="1">
      <c r="B423" s="94" t="s">
        <v>533</v>
      </c>
      <c r="C423" s="183"/>
      <c r="D423" s="189"/>
      <c r="E423" s="182" t="s">
        <v>687</v>
      </c>
      <c r="F423" s="28" t="s">
        <v>241</v>
      </c>
      <c r="G423" s="113">
        <f>Rates!$C$78</f>
        <v>100</v>
      </c>
      <c r="H423" s="113">
        <f>Rates!$C$78</f>
        <v>100</v>
      </c>
      <c r="I423" s="113">
        <f>Rates!$C$78</f>
        <v>100</v>
      </c>
      <c r="J423" s="113">
        <f>Rates!$C$78</f>
        <v>100</v>
      </c>
      <c r="K423" s="113">
        <f>Rates!$C$78</f>
        <v>100</v>
      </c>
      <c r="L423" s="113">
        <f>Rates!$C$78</f>
        <v>100</v>
      </c>
      <c r="M423" s="113">
        <f>Rates!$C$78</f>
        <v>100</v>
      </c>
      <c r="N423" s="113">
        <f>Rates!$C$78</f>
        <v>100</v>
      </c>
      <c r="O423" s="113">
        <f>Rates!$C$78</f>
        <v>100</v>
      </c>
      <c r="P423" s="113">
        <f>Rates!$C$78</f>
        <v>100</v>
      </c>
      <c r="Q423" s="397"/>
      <c r="R423" s="49"/>
    </row>
    <row r="424" spans="2:18" hidden="1">
      <c r="B424" s="94" t="s">
        <v>533</v>
      </c>
      <c r="C424" s="183"/>
      <c r="D424" s="189"/>
      <c r="E424" s="182" t="s">
        <v>688</v>
      </c>
      <c r="F424" s="28" t="s">
        <v>241</v>
      </c>
      <c r="G424" s="472"/>
      <c r="H424" s="472"/>
      <c r="I424" s="472"/>
      <c r="J424" s="472"/>
      <c r="K424" s="472"/>
      <c r="L424" s="472"/>
      <c r="M424" s="472"/>
      <c r="N424" s="472"/>
      <c r="O424" s="472"/>
      <c r="P424" s="472"/>
      <c r="Q424" s="407"/>
      <c r="R424" s="49"/>
    </row>
    <row r="425" spans="2:18" hidden="1">
      <c r="B425" s="94" t="s">
        <v>533</v>
      </c>
      <c r="C425" s="183"/>
      <c r="D425" s="189"/>
      <c r="E425" s="182" t="s">
        <v>689</v>
      </c>
      <c r="F425" s="28" t="s">
        <v>236</v>
      </c>
      <c r="G425" s="137">
        <f>IF(G424="",G423,G424)*G416</f>
        <v>0</v>
      </c>
      <c r="H425" s="137">
        <f t="shared" ref="H425:P425" si="353">IF(H424="",H423,H424)*H416</f>
        <v>0</v>
      </c>
      <c r="I425" s="137">
        <f t="shared" si="353"/>
        <v>0</v>
      </c>
      <c r="J425" s="137">
        <f t="shared" si="353"/>
        <v>0</v>
      </c>
      <c r="K425" s="137">
        <f t="shared" si="353"/>
        <v>0</v>
      </c>
      <c r="L425" s="137">
        <f t="shared" si="353"/>
        <v>0</v>
      </c>
      <c r="M425" s="137">
        <f t="shared" si="353"/>
        <v>0</v>
      </c>
      <c r="N425" s="137">
        <f t="shared" si="353"/>
        <v>0</v>
      </c>
      <c r="O425" s="137">
        <f t="shared" si="353"/>
        <v>0</v>
      </c>
      <c r="P425" s="137">
        <f t="shared" si="353"/>
        <v>0</v>
      </c>
      <c r="Q425" s="397"/>
      <c r="R425" s="49"/>
    </row>
    <row r="426" spans="2:18" hidden="1">
      <c r="B426" s="94" t="s">
        <v>533</v>
      </c>
      <c r="C426" s="185"/>
      <c r="D426" s="190"/>
      <c r="E426" s="182" t="s">
        <v>184</v>
      </c>
      <c r="F426" s="28" t="s">
        <v>236</v>
      </c>
      <c r="G426" s="136">
        <f>G425+G422</f>
        <v>0</v>
      </c>
      <c r="H426" s="136">
        <f t="shared" ref="H426:P426" si="354">H425+H422</f>
        <v>0</v>
      </c>
      <c r="I426" s="136">
        <f t="shared" si="354"/>
        <v>0</v>
      </c>
      <c r="J426" s="136">
        <f t="shared" si="354"/>
        <v>0</v>
      </c>
      <c r="K426" s="136">
        <f t="shared" si="354"/>
        <v>0</v>
      </c>
      <c r="L426" s="136">
        <f t="shared" si="354"/>
        <v>0</v>
      </c>
      <c r="M426" s="136">
        <f t="shared" si="354"/>
        <v>0</v>
      </c>
      <c r="N426" s="136">
        <f t="shared" si="354"/>
        <v>0</v>
      </c>
      <c r="O426" s="136">
        <f t="shared" si="354"/>
        <v>0</v>
      </c>
      <c r="P426" s="136">
        <f t="shared" si="354"/>
        <v>0</v>
      </c>
      <c r="Q426" s="397"/>
      <c r="R426" s="49"/>
    </row>
    <row r="427" spans="2:18" ht="12" hidden="1" thickBot="1">
      <c r="B427" s="94" t="s">
        <v>533</v>
      </c>
      <c r="C427" s="188"/>
      <c r="D427" s="188"/>
      <c r="E427" s="205" t="str">
        <f>C411</f>
        <v>Water Supply / Monitoring / Exploration Bores - Grout - User Build</v>
      </c>
      <c r="F427" s="72"/>
      <c r="G427" s="64">
        <f>G426*G411</f>
        <v>0</v>
      </c>
      <c r="H427" s="64">
        <f t="shared" ref="H427:P427" si="355">H426*H411</f>
        <v>0</v>
      </c>
      <c r="I427" s="64">
        <f t="shared" si="355"/>
        <v>0</v>
      </c>
      <c r="J427" s="64">
        <f t="shared" si="355"/>
        <v>0</v>
      </c>
      <c r="K427" s="64">
        <f t="shared" si="355"/>
        <v>0</v>
      </c>
      <c r="L427" s="64">
        <f t="shared" si="355"/>
        <v>0</v>
      </c>
      <c r="M427" s="64">
        <f t="shared" si="355"/>
        <v>0</v>
      </c>
      <c r="N427" s="64">
        <f t="shared" si="355"/>
        <v>0</v>
      </c>
      <c r="O427" s="64">
        <f t="shared" si="355"/>
        <v>0</v>
      </c>
      <c r="P427" s="64">
        <f t="shared" si="355"/>
        <v>0</v>
      </c>
      <c r="Q427" s="397"/>
      <c r="R427" s="49"/>
    </row>
    <row r="428" spans="2:18">
      <c r="B428" s="94" t="s">
        <v>123</v>
      </c>
      <c r="C428" s="214"/>
      <c r="D428" s="214"/>
      <c r="E428" s="214"/>
    </row>
    <row r="429" spans="2:18">
      <c r="C429" s="214"/>
      <c r="D429" s="214"/>
      <c r="E429" s="214"/>
    </row>
    <row r="430" spans="2:18">
      <c r="C430" s="214"/>
      <c r="D430" s="214"/>
      <c r="E430" s="214"/>
    </row>
    <row r="431" spans="2:18">
      <c r="C431" s="214"/>
      <c r="D431" s="214"/>
      <c r="E431" s="214"/>
    </row>
    <row r="432" spans="2:18">
      <c r="C432" s="214"/>
      <c r="D432" s="214"/>
      <c r="E432" s="214"/>
    </row>
    <row r="433" spans="3:5">
      <c r="C433" s="214"/>
      <c r="D433" s="214"/>
      <c r="E433" s="214"/>
    </row>
    <row r="434" spans="3:5">
      <c r="C434" s="214"/>
      <c r="D434" s="214"/>
      <c r="E434" s="214"/>
    </row>
    <row r="435" spans="3:5">
      <c r="C435" s="214"/>
      <c r="D435" s="214"/>
      <c r="E435" s="214"/>
    </row>
  </sheetData>
  <sheetProtection algorithmName="SHA-512" hashValue="dNq8gz56zYaWV9PaTScrhSn6HAmoX34goPQedU3n1n7OwJdGW/NqT/IaydUsc2eI0iylyb9KDBnjBu2TxePSlw==" saltValue="NBWiTO+sVywktfz3IZ4lMA==" spinCount="100000" sheet="1" objects="1" scenarios="1" autoFilter="0"/>
  <autoFilter ref="B237:B428" xr:uid="{4C429190-435F-4667-861F-96FE2BCDFA6A}">
    <filterColumn colId="0">
      <filters>
        <filter val="Select"/>
      </filters>
    </filterColumn>
  </autoFilter>
  <mergeCells count="4">
    <mergeCell ref="D123:D124"/>
    <mergeCell ref="C329:D330"/>
    <mergeCell ref="C268:D269"/>
    <mergeCell ref="C298:D299"/>
  </mergeCells>
  <phoneticPr fontId="21" type="noConversion"/>
  <conditionalFormatting sqref="G13:P13">
    <cfRule type="notContainsBlanks" dxfId="362" priority="81">
      <formula>LEN(TRIM(G13))&gt;0</formula>
    </cfRule>
  </conditionalFormatting>
  <conditionalFormatting sqref="G19:P19">
    <cfRule type="notContainsBlanks" dxfId="361" priority="80">
      <formula>LEN(TRIM(G19))&gt;0</formula>
    </cfRule>
  </conditionalFormatting>
  <conditionalFormatting sqref="G28:P28">
    <cfRule type="notContainsBlanks" dxfId="360" priority="79">
      <formula>LEN(TRIM(G28))&gt;0</formula>
    </cfRule>
  </conditionalFormatting>
  <conditionalFormatting sqref="G36:P36">
    <cfRule type="notContainsBlanks" dxfId="359" priority="78">
      <formula>LEN(TRIM(G36))&gt;0</formula>
    </cfRule>
  </conditionalFormatting>
  <conditionalFormatting sqref="G41:P41">
    <cfRule type="notContainsBlanks" dxfId="358" priority="77">
      <formula>LEN(TRIM(G41))&gt;0</formula>
    </cfRule>
  </conditionalFormatting>
  <conditionalFormatting sqref="G46:P46">
    <cfRule type="notContainsBlanks" dxfId="357" priority="76">
      <formula>LEN(TRIM(G46))&gt;0</formula>
    </cfRule>
  </conditionalFormatting>
  <conditionalFormatting sqref="G51:P51">
    <cfRule type="notContainsBlanks" dxfId="356" priority="75">
      <formula>LEN(TRIM(G51))&gt;0</formula>
    </cfRule>
  </conditionalFormatting>
  <conditionalFormatting sqref="G58:P58">
    <cfRule type="notContainsBlanks" dxfId="355" priority="74">
      <formula>LEN(TRIM(G58))&gt;0</formula>
    </cfRule>
  </conditionalFormatting>
  <conditionalFormatting sqref="G64:P64">
    <cfRule type="notContainsBlanks" dxfId="354" priority="2">
      <formula>LEN(TRIM(G64))&gt;0</formula>
    </cfRule>
  </conditionalFormatting>
  <conditionalFormatting sqref="G70:P70">
    <cfRule type="notContainsBlanks" dxfId="353" priority="1">
      <formula>LEN(TRIM(G70))&gt;0</formula>
    </cfRule>
  </conditionalFormatting>
  <conditionalFormatting sqref="G76:P76">
    <cfRule type="notContainsBlanks" dxfId="352" priority="73">
      <formula>LEN(TRIM(G76))&gt;0</formula>
    </cfRule>
  </conditionalFormatting>
  <conditionalFormatting sqref="G82:P82">
    <cfRule type="notContainsBlanks" dxfId="351" priority="72">
      <formula>LEN(TRIM(G82))&gt;0</formula>
    </cfRule>
  </conditionalFormatting>
  <conditionalFormatting sqref="G86:P86">
    <cfRule type="notContainsBlanks" dxfId="350" priority="71">
      <formula>LEN(TRIM(G86))&gt;0</formula>
    </cfRule>
  </conditionalFormatting>
  <conditionalFormatting sqref="G92:P92">
    <cfRule type="notContainsBlanks" dxfId="349" priority="70">
      <formula>LEN(TRIM(G92))&gt;0</formula>
    </cfRule>
  </conditionalFormatting>
  <conditionalFormatting sqref="G97:P97">
    <cfRule type="notContainsBlanks" dxfId="348" priority="69">
      <formula>LEN(TRIM(G97))&gt;0</formula>
    </cfRule>
  </conditionalFormatting>
  <conditionalFormatting sqref="G101:P101">
    <cfRule type="notContainsBlanks" dxfId="347" priority="68">
      <formula>LEN(TRIM(G101))&gt;0</formula>
    </cfRule>
  </conditionalFormatting>
  <conditionalFormatting sqref="G107:P107">
    <cfRule type="notContainsBlanks" dxfId="346" priority="67">
      <formula>LEN(TRIM(G107))&gt;0</formula>
    </cfRule>
  </conditionalFormatting>
  <conditionalFormatting sqref="G114:P114">
    <cfRule type="notContainsBlanks" dxfId="345" priority="66">
      <formula>LEN(TRIM(G114))&gt;0</formula>
    </cfRule>
  </conditionalFormatting>
  <conditionalFormatting sqref="G120:P120">
    <cfRule type="notContainsBlanks" dxfId="344" priority="65">
      <formula>LEN(TRIM(G120))&gt;0</formula>
    </cfRule>
  </conditionalFormatting>
  <conditionalFormatting sqref="G126:P126">
    <cfRule type="notContainsBlanks" dxfId="343" priority="64">
      <formula>LEN(TRIM(G126))&gt;0</formula>
    </cfRule>
  </conditionalFormatting>
  <conditionalFormatting sqref="G130:P130">
    <cfRule type="notContainsBlanks" dxfId="342" priority="63">
      <formula>LEN(TRIM(G130))&gt;0</formula>
    </cfRule>
  </conditionalFormatting>
  <conditionalFormatting sqref="G136:P136">
    <cfRule type="notContainsBlanks" dxfId="341" priority="62">
      <formula>LEN(TRIM(G136))&gt;0</formula>
    </cfRule>
  </conditionalFormatting>
  <conditionalFormatting sqref="G141:P141">
    <cfRule type="notContainsBlanks" dxfId="340" priority="61">
      <formula>LEN(TRIM(G141))&gt;0</formula>
    </cfRule>
  </conditionalFormatting>
  <conditionalFormatting sqref="G147:P147">
    <cfRule type="notContainsBlanks" dxfId="339" priority="60">
      <formula>LEN(TRIM(G147))&gt;0</formula>
    </cfRule>
  </conditionalFormatting>
  <conditionalFormatting sqref="G159:P159">
    <cfRule type="notContainsBlanks" dxfId="338" priority="59">
      <formula>LEN(TRIM(G159))&gt;0</formula>
    </cfRule>
  </conditionalFormatting>
  <conditionalFormatting sqref="G163:P163">
    <cfRule type="notContainsBlanks" dxfId="337" priority="58">
      <formula>LEN(TRIM(G163))&gt;0</formula>
    </cfRule>
  </conditionalFormatting>
  <conditionalFormatting sqref="G167:P167">
    <cfRule type="notContainsBlanks" dxfId="336" priority="57">
      <formula>LEN(TRIM(G167))&gt;0</formula>
    </cfRule>
  </conditionalFormatting>
  <conditionalFormatting sqref="G175:P175">
    <cfRule type="notContainsBlanks" dxfId="335" priority="56">
      <formula>LEN(TRIM(G175))&gt;0</formula>
    </cfRule>
  </conditionalFormatting>
  <conditionalFormatting sqref="G179:P179">
    <cfRule type="notContainsBlanks" dxfId="334" priority="55">
      <formula>LEN(TRIM(G179))&gt;0</formula>
    </cfRule>
  </conditionalFormatting>
  <conditionalFormatting sqref="G181:P181">
    <cfRule type="notContainsBlanks" dxfId="333" priority="54">
      <formula>LEN(TRIM(G181))&gt;0</formula>
    </cfRule>
  </conditionalFormatting>
  <conditionalFormatting sqref="G188:P188">
    <cfRule type="notContainsBlanks" dxfId="332" priority="9">
      <formula>LEN(TRIM(G188))&gt;0</formula>
    </cfRule>
  </conditionalFormatting>
  <conditionalFormatting sqref="G201:P201">
    <cfRule type="notContainsBlanks" dxfId="331" priority="46">
      <formula>LEN(TRIM(G201))&gt;0</formula>
    </cfRule>
  </conditionalFormatting>
  <conditionalFormatting sqref="G204:P204">
    <cfRule type="notContainsBlanks" dxfId="330" priority="45">
      <formula>LEN(TRIM(G204))&gt;0</formula>
    </cfRule>
  </conditionalFormatting>
  <conditionalFormatting sqref="G209:P209">
    <cfRule type="notContainsBlanks" dxfId="329" priority="44">
      <formula>LEN(TRIM(G209))&gt;0</formula>
    </cfRule>
  </conditionalFormatting>
  <conditionalFormatting sqref="G215:P215">
    <cfRule type="notContainsBlanks" dxfId="328" priority="43">
      <formula>LEN(TRIM(G215))&gt;0</formula>
    </cfRule>
  </conditionalFormatting>
  <conditionalFormatting sqref="G221:P221">
    <cfRule type="notContainsBlanks" dxfId="327" priority="42">
      <formula>LEN(TRIM(G221))&gt;0</formula>
    </cfRule>
  </conditionalFormatting>
  <conditionalFormatting sqref="G226:P226">
    <cfRule type="notContainsBlanks" dxfId="326" priority="41">
      <formula>LEN(TRIM(G226))&gt;0</formula>
    </cfRule>
  </conditionalFormatting>
  <conditionalFormatting sqref="G248:P248">
    <cfRule type="notContainsBlanks" dxfId="325" priority="40">
      <formula>LEN(TRIM(G248))&gt;0</formula>
    </cfRule>
  </conditionalFormatting>
  <conditionalFormatting sqref="G252:P252">
    <cfRule type="notContainsBlanks" dxfId="324" priority="39">
      <formula>LEN(TRIM(G252))&gt;0</formula>
    </cfRule>
  </conditionalFormatting>
  <conditionalFormatting sqref="G259:P259">
    <cfRule type="notContainsBlanks" dxfId="323" priority="38">
      <formula>LEN(TRIM(G259))&gt;0</formula>
    </cfRule>
  </conditionalFormatting>
  <conditionalFormatting sqref="G266:P266">
    <cfRule type="notContainsBlanks" dxfId="322" priority="37">
      <formula>LEN(TRIM(G266))&gt;0</formula>
    </cfRule>
  </conditionalFormatting>
  <conditionalFormatting sqref="G278:P278">
    <cfRule type="notContainsBlanks" dxfId="321" priority="36">
      <formula>LEN(TRIM(G278))&gt;0</formula>
    </cfRule>
  </conditionalFormatting>
  <conditionalFormatting sqref="G282:P282">
    <cfRule type="notContainsBlanks" dxfId="320" priority="34">
      <formula>LEN(TRIM(G282))&gt;0</formula>
    </cfRule>
  </conditionalFormatting>
  <conditionalFormatting sqref="G289:P289">
    <cfRule type="notContainsBlanks" dxfId="319" priority="33">
      <formula>LEN(TRIM(G289))&gt;0</formula>
    </cfRule>
  </conditionalFormatting>
  <conditionalFormatting sqref="G296:P296">
    <cfRule type="notContainsBlanks" dxfId="318" priority="32">
      <formula>LEN(TRIM(G296))&gt;0</formula>
    </cfRule>
  </conditionalFormatting>
  <conditionalFormatting sqref="G308:P308">
    <cfRule type="notContainsBlanks" dxfId="317" priority="31">
      <formula>LEN(TRIM(G308))&gt;0</formula>
    </cfRule>
  </conditionalFormatting>
  <conditionalFormatting sqref="G313:P313">
    <cfRule type="notContainsBlanks" dxfId="316" priority="30">
      <formula>LEN(TRIM(G313))&gt;0</formula>
    </cfRule>
  </conditionalFormatting>
  <conditionalFormatting sqref="G320:P320">
    <cfRule type="notContainsBlanks" dxfId="315" priority="29">
      <formula>LEN(TRIM(G320))&gt;0</formula>
    </cfRule>
  </conditionalFormatting>
  <conditionalFormatting sqref="G327:P327">
    <cfRule type="notContainsBlanks" dxfId="314" priority="28">
      <formula>LEN(TRIM(G327))&gt;0</formula>
    </cfRule>
  </conditionalFormatting>
  <conditionalFormatting sqref="G346:P346">
    <cfRule type="notContainsBlanks" dxfId="313" priority="27">
      <formula>LEN(TRIM(G346))&gt;0</formula>
    </cfRule>
  </conditionalFormatting>
  <conditionalFormatting sqref="G363:P363">
    <cfRule type="notContainsBlanks" dxfId="312" priority="26">
      <formula>LEN(TRIM(G363))&gt;0</formula>
    </cfRule>
  </conditionalFormatting>
  <conditionalFormatting sqref="G367:P367">
    <cfRule type="notContainsBlanks" dxfId="311" priority="25">
      <formula>LEN(TRIM(G367))&gt;0</formula>
    </cfRule>
  </conditionalFormatting>
  <conditionalFormatting sqref="G369:P369">
    <cfRule type="notContainsBlanks" dxfId="310" priority="24">
      <formula>LEN(TRIM(G369))&gt;0</formula>
    </cfRule>
  </conditionalFormatting>
  <conditionalFormatting sqref="G386:P386">
    <cfRule type="notContainsBlanks" dxfId="309" priority="8">
      <formula>LEN(TRIM(G386))&gt;0</formula>
    </cfRule>
  </conditionalFormatting>
  <conditionalFormatting sqref="G392:P392">
    <cfRule type="notContainsBlanks" dxfId="308" priority="7">
      <formula>LEN(TRIM(G392))&gt;0</formula>
    </cfRule>
  </conditionalFormatting>
  <conditionalFormatting sqref="G396:P396">
    <cfRule type="notContainsBlanks" dxfId="307" priority="6">
      <formula>LEN(TRIM(G396))&gt;0</formula>
    </cfRule>
  </conditionalFormatting>
  <conditionalFormatting sqref="G400:P400">
    <cfRule type="notContainsBlanks" dxfId="306" priority="5">
      <formula>LEN(TRIM(G400))&gt;0</formula>
    </cfRule>
  </conditionalFormatting>
  <conditionalFormatting sqref="G404:P404">
    <cfRule type="notContainsBlanks" dxfId="305" priority="4">
      <formula>LEN(TRIM(G404))&gt;0</formula>
    </cfRule>
  </conditionalFormatting>
  <conditionalFormatting sqref="G408:P408">
    <cfRule type="notContainsBlanks" dxfId="304" priority="3">
      <formula>LEN(TRIM(G408))&gt;0</formula>
    </cfRule>
  </conditionalFormatting>
  <conditionalFormatting sqref="G421:P421">
    <cfRule type="notContainsBlanks" dxfId="303" priority="17">
      <formula>LEN(TRIM(G421))&gt;0</formula>
    </cfRule>
  </conditionalFormatting>
  <conditionalFormatting sqref="G424:P424">
    <cfRule type="notContainsBlanks" dxfId="302" priority="16">
      <formula>LEN(TRIM(G424))&gt;0</formula>
    </cfRule>
  </conditionalFormatting>
  <conditionalFormatting sqref="R153">
    <cfRule type="containsText" dxfId="301" priority="82" operator="containsText" text="lower">
      <formula>NOT(ISERROR(SEARCH("lower",R153)))</formula>
    </cfRule>
  </conditionalFormatting>
  <dataValidations count="38">
    <dataValidation type="list" allowBlank="1" showInputMessage="1" showErrorMessage="1" sqref="G359:P359 G171:Q171" xr:uid="{EF61737D-398B-4866-AB2B-0012ACA83987}">
      <formula1>Ameliorants_soil_L</formula1>
    </dataValidation>
    <dataValidation type="list" allowBlank="1" showInputMessage="1" showErrorMessage="1" sqref="G365:P365 G197:P197 G157:Q157 G177:Q177" xr:uid="{97224DD9-9194-46C0-8A26-90A9AFB82049}">
      <formula1>Long_haul_soil_amend_names_volume_CS</formula1>
    </dataValidation>
    <dataValidation type="list" allowBlank="1" showInputMessage="1" showErrorMessage="1" sqref="G344:P344 G165:Q165" xr:uid="{AAF6A1DA-D3FB-4A6C-9FB0-6426FF03ED62}">
      <formula1>Load_haul_soil_names_CS</formula1>
    </dataValidation>
    <dataValidation type="list" allowBlank="1" showInputMessage="1" showErrorMessage="1" sqref="G383:P383" xr:uid="{D16D7D41-10EA-49E6-A4DC-9D678AFA0F17}">
      <formula1>Plant_and_seed_list_L</formula1>
    </dataValidation>
    <dataValidation type="list" allowBlank="1" showInputMessage="1" showErrorMessage="1" sqref="G242:P242 G273:P273 G303:P303" xr:uid="{B1782F06-8279-43A7-80F9-1AEDDF5920ED}">
      <formula1>Surface_cover_list</formula1>
    </dataValidation>
    <dataValidation type="list" allowBlank="1" showInputMessage="1" showErrorMessage="1" sqref="G246:P246 G276:P276 G306:P306" xr:uid="{138D3490-B079-46EC-A880-8D5957039456}">
      <formula1>Load_haul_fill_names_CS</formula1>
    </dataValidation>
    <dataValidation type="list" allowBlank="1" showInputMessage="1" showErrorMessage="1" sqref="G250:P250 G311:P311 G280:P280" xr:uid="{18EF64AD-180F-44C8-AC26-3C5BFF3AD588}">
      <formula1>Grader_rip_names_CS</formula1>
    </dataValidation>
    <dataValidation type="list" allowBlank="1" showInputMessage="1" showErrorMessage="1" sqref="G287:P287 G318:P318 G257:P257" xr:uid="{AE357AD9-E342-45E4-878E-AB49A88770D6}">
      <formula1>Dozer_rip_names_CS</formula1>
    </dataValidation>
    <dataValidation type="list" allowBlank="1" showInputMessage="1" showErrorMessage="1" sqref="G294:P294 G264:P264 G325:P325" xr:uid="{DBDF59F1-0771-489F-AB46-E9FE21FF7343}">
      <formula1>Grader_trim_names_CS</formula1>
    </dataValidation>
    <dataValidation type="list" allowBlank="1" showInputMessage="1" showErrorMessage="1" sqref="G22:P22" xr:uid="{EE0FC4A7-B304-4682-BDF8-14E07859F1F2}">
      <formula1>Haul_roads_length_names_CS</formula1>
    </dataValidation>
    <dataValidation type="list" allowBlank="1" showInputMessage="1" showErrorMessage="1" sqref="G32:P32 G24:P24" xr:uid="{E9A0B2BB-32D7-4454-9396-7D8D2593CE9C}">
      <formula1>Dimension_measure</formula1>
    </dataValidation>
    <dataValidation type="list" allowBlank="1" showInputMessage="1" showErrorMessage="1" sqref="G30:P30" xr:uid="{44CFC7AA-3AA5-4CAA-B92C-C37A08A377A8}">
      <formula1>Track_names_CS</formula1>
    </dataValidation>
    <dataValidation type="list" allowBlank="1" showInputMessage="1" showErrorMessage="1" sqref="G38:P38" xr:uid="{C91E976C-91FB-4974-88D5-11BCABFC5A9A}">
      <formula1>Laydown_names_CS</formula1>
    </dataValidation>
    <dataValidation type="list" allowBlank="1" showInputMessage="1" showErrorMessage="1" sqref="G54:P54 G60:P60 G66:P66" xr:uid="{57F58355-4590-4990-8091-4BCDA85785E8}">
      <formula1>Buildings_names_CS</formula1>
    </dataValidation>
    <dataValidation type="list" allowBlank="1" showInputMessage="1" showErrorMessage="1" sqref="G79:P79" xr:uid="{2FB298F7-3E9B-4AF4-9A8D-61768F069253}">
      <formula1>Pipelines_names_CS</formula1>
    </dataValidation>
    <dataValidation type="list" allowBlank="1" showInputMessage="1" showErrorMessage="1" sqref="G89:P89" xr:uid="{2E6326B8-2181-4D6F-9EAD-0D3FA176975C}">
      <formula1>Power_poles_names_CS</formula1>
    </dataValidation>
    <dataValidation type="list" allowBlank="1" showInputMessage="1" showErrorMessage="1" sqref="G94:P94" xr:uid="{DF7C198D-F0F1-4A9D-8A37-CACB213BE857}">
      <formula1>Substation_names_CS</formula1>
    </dataValidation>
    <dataValidation type="list" allowBlank="1" showInputMessage="1" showErrorMessage="1" sqref="G104:P104" xr:uid="{84B5A712-64C3-4DB7-87BD-3CC7DAC2DD6E}">
      <formula1>Overpass_names_CS</formula1>
    </dataValidation>
    <dataValidation type="list" allowBlank="1" showInputMessage="1" showErrorMessage="1" sqref="G133:P133" xr:uid="{20EEDDB5-C7E7-443B-9DC5-0EF7C2BFDA5C}">
      <formula1>Bores_infra_names_CS</formula1>
    </dataValidation>
    <dataValidation type="list" allowBlank="1" showInputMessage="1" showErrorMessage="1" sqref="G390:P390" xr:uid="{B01023E4-F431-4EF9-B363-1D4EAC166A52}">
      <formula1>Plant_and_seed_apply_plant_names_CS</formula1>
    </dataValidation>
    <dataValidation type="list" allowBlank="1" showInputMessage="1" showErrorMessage="1" sqref="G394:P394" xr:uid="{12A98234-B329-42F2-BC46-1014A4802A92}">
      <formula1>Plant_and_seed_fertiliser_buy_names_CS</formula1>
    </dataValidation>
    <dataValidation type="list" allowBlank="1" showInputMessage="1" showErrorMessage="1" sqref="G398:P398" xr:uid="{F5F907EA-2D7D-43EE-BA2F-7F428046F04B}">
      <formula1>Plant_and_seed_apply_fertiliser_names_CS</formula1>
    </dataValidation>
    <dataValidation type="list" allowBlank="1" showInputMessage="1" showErrorMessage="1" sqref="G402:P402" xr:uid="{56345880-3A34-43A3-991D-097FE56A9782}">
      <formula1>Plant_and_seed_buy_water_names_CS</formula1>
    </dataValidation>
    <dataValidation type="list" allowBlank="1" showInputMessage="1" showErrorMessage="1" sqref="G406:P406" xr:uid="{A6AF2BEE-DCAB-4E61-ADC5-31F51BB6A95D}">
      <formula1>Plant_and_seed_apply_water_names_CS</formula1>
    </dataValidation>
    <dataValidation type="list" allowBlank="1" showInputMessage="1" showErrorMessage="1" sqref="G10:P10" xr:uid="{2B505B94-78BE-4F2D-9AAF-96661690E733}">
      <formula1>Utilities_names_CS</formula1>
    </dataValidation>
    <dataValidation type="list" allowBlank="1" showInputMessage="1" showErrorMessage="1" sqref="G110:P110" xr:uid="{5A0AEF1E-036A-432A-8C00-6D38317BCFA9}">
      <formula1>Rail_names_CS</formula1>
    </dataValidation>
    <dataValidation type="list" allowBlank="1" showInputMessage="1" showErrorMessage="1" sqref="G43:P43" xr:uid="{7ED66E31-B2D8-4B4C-BEDB-179CE7963471}">
      <formula1>Airstrip_names_CS</formula1>
    </dataValidation>
    <dataValidation type="list" allowBlank="1" showInputMessage="1" showErrorMessage="1" sqref="G16:P16" xr:uid="{124C0B65-81E6-4168-93F6-8167044F6B14}">
      <formula1>Fencing_names_CS</formula1>
    </dataValidation>
    <dataValidation type="list" allowBlank="1" showInputMessage="1" showErrorMessage="1" sqref="G73:P73" xr:uid="{6A9AD199-F480-4942-A1FE-B12A92BCEC5E}">
      <formula1>Tanks_infra_names_CS</formula1>
    </dataValidation>
    <dataValidation type="list" allowBlank="1" showInputMessage="1" showErrorMessage="1" sqref="G217:P217" xr:uid="{3565A8AC-6519-48C5-BF1C-6B6FDF1C1B86}">
      <formula1>Contaminated_soil_names_CS</formula1>
    </dataValidation>
    <dataValidation type="list" allowBlank="1" showInputMessage="1" showErrorMessage="1" sqref="G206:P206" xr:uid="{C3F8D482-C59C-48FE-85F4-5BA9D4B6142C}">
      <formula1>Waste_levy_names_R</formula1>
    </dataValidation>
    <dataValidation type="list" allowBlank="1" showInputMessage="1" showErrorMessage="1" sqref="G223:P223" xr:uid="{80FDFDCF-495C-4896-89F8-F03C220E1EBE}">
      <formula1>Load_haul_stabilised_names_CS</formula1>
    </dataValidation>
    <dataValidation type="list" allowBlank="1" showInputMessage="1" showErrorMessage="1" sqref="G124:Q124" xr:uid="{2E10F48B-6FD5-485D-A037-D28D9614F024}">
      <formula1>Drains_names_CS</formula1>
    </dataValidation>
    <dataValidation type="list" allowBlank="1" showInputMessage="1" showErrorMessage="1" sqref="G117:P117" xr:uid="{01FC721C-20B7-4340-8739-B0FE4D1FC8E1}">
      <formula1>Concrete_crush_names_CS</formula1>
    </dataValidation>
    <dataValidation type="list" allowBlank="1" showInputMessage="1" showErrorMessage="1" sqref="G191:P191" xr:uid="{DBB309EC-2F84-4131-916B-C72D7AEB00E9}">
      <formula1>Waste_names_L</formula1>
    </dataValidation>
    <dataValidation type="list" allowBlank="1" showInputMessage="1" showErrorMessage="1" sqref="G144:P144" xr:uid="{E6EFD687-AFB3-4E4F-AD77-A0FDF4CF6124}">
      <formula1>Maintenance_rehab_areas_names_CS</formula1>
    </dataValidation>
    <dataValidation type="list" allowBlank="1" showInputMessage="1" showErrorMessage="1" sqref="G161:P161" xr:uid="{5E8E831D-E333-4D9F-9219-BE825AA37122}">
      <formula1>Growth_media_fill_names_R</formula1>
    </dataValidation>
    <dataValidation type="list" allowBlank="1" showInputMessage="1" showErrorMessage="1" sqref="G186:P186" xr:uid="{5FF58964-AFF0-46B4-80C4-9B2613F648FA}">
      <formula1>Plant_and_seed_names_CS</formula1>
    </dataValidation>
  </dataValidations>
  <hyperlinks>
    <hyperlink ref="E5" location="RCE_Summary" display="RCE Summary" xr:uid="{46AFD648-E0DD-4465-85B0-F6DBDD91A972}"/>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019A6EF-083C-4133-8F51-5515D9CA33AA}">
          <x14:formula1>
            <xm:f>Lists!$B$341:$B$343</xm:f>
          </x14:formula1>
          <xm:sqref>G23:P23 G31:P31</xm:sqref>
        </x14:dataValidation>
        <x14:dataValidation type="list" allowBlank="1" showInputMessage="1" showErrorMessage="1" xr:uid="{A47436A0-A028-45D8-AB4A-D4D09CDA2990}">
          <x14:formula1>
            <xm:f>'Cost Schedule'!$C$1102:$C$1103</xm:f>
          </x14:formula1>
          <xm:sqref>G48:P48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182AF-7953-4BCF-AC22-865AE48E5A41}">
  <sheetPr codeName="Sheet15" filterMode="1">
    <tabColor theme="9" tint="-0.249977111117893"/>
  </sheetPr>
  <dimension ref="B2:R501"/>
  <sheetViews>
    <sheetView showGridLines="0" zoomScaleNormal="100" workbookViewId="0">
      <pane xSplit="6" ySplit="9" topLeftCell="G138" activePane="bottomRight" state="frozen"/>
      <selection pane="topRight" activeCell="I1" sqref="I1"/>
      <selection pane="bottomLeft" activeCell="A10" sqref="A10"/>
      <selection pane="bottomRight" activeCell="G160" sqref="G160"/>
    </sheetView>
  </sheetViews>
  <sheetFormatPr defaultColWidth="8.7109375" defaultRowHeight="11.25"/>
  <cols>
    <col min="1" max="1" width="2.5703125" style="28" customWidth="1"/>
    <col min="2" max="2" width="5.7109375" style="28" customWidth="1"/>
    <col min="3" max="3" width="28.7109375" style="28" customWidth="1"/>
    <col min="4" max="4" width="34.85546875" style="28" customWidth="1"/>
    <col min="5" max="5" width="27" style="28" customWidth="1"/>
    <col min="6" max="6" width="8.7109375" style="28"/>
    <col min="7" max="15" width="13.28515625" style="3" customWidth="1"/>
    <col min="16" max="16" width="14.140625" style="3" bestFit="1" customWidth="1"/>
    <col min="17" max="18" width="76.85546875" style="28" customWidth="1"/>
    <col min="19" max="19" width="34.5703125" style="28" customWidth="1"/>
    <col min="20" max="20" width="36.7109375" style="28" customWidth="1"/>
    <col min="21" max="16384" width="8.7109375" style="28"/>
  </cols>
  <sheetData>
    <row r="2" spans="3:18" ht="24.95" customHeight="1">
      <c r="C2" s="317" t="str">
        <f>Name_main</f>
        <v>Rehabilitation Cost Estimate Tool - Mining New South Wales</v>
      </c>
    </row>
    <row r="3" spans="3:18" ht="15.95" customHeight="1">
      <c r="C3" s="318" t="str">
        <f>CONCATENATE(CompanyName," - ",Mine_Name)</f>
        <v>Boral Cement - Marulan South Limestone Mine</v>
      </c>
      <c r="G3" s="473"/>
      <c r="H3" s="473"/>
      <c r="I3" s="473"/>
      <c r="J3" s="473"/>
    </row>
    <row r="4" spans="3:18" ht="15.95" customHeight="1" thickBot="1">
      <c r="C4" s="319" t="s">
        <v>182</v>
      </c>
      <c r="D4" s="320">
        <f>Grand_total</f>
        <v>27655414.430474937</v>
      </c>
      <c r="G4" s="323"/>
      <c r="H4" s="323"/>
      <c r="I4" s="323"/>
      <c r="J4" s="323"/>
      <c r="K4" s="323"/>
      <c r="L4" s="323"/>
      <c r="M4" s="323"/>
      <c r="N4" s="323"/>
      <c r="O4" s="323"/>
      <c r="P4" s="323"/>
    </row>
    <row r="5" spans="3:18" ht="15.95" customHeight="1" thickTop="1" thickBot="1">
      <c r="C5" s="474" t="s">
        <v>690</v>
      </c>
      <c r="D5" s="322">
        <f>SUM(G5:P5)</f>
        <v>6391934.1973628607</v>
      </c>
      <c r="E5" s="393" t="s">
        <v>1</v>
      </c>
      <c r="F5" s="323" t="s">
        <v>691</v>
      </c>
      <c r="G5" s="475">
        <f t="shared" ref="G5:P5" si="0">G16+G78+G98+G105+G159+G169+G193+G208+G218+G224+G245+G262+G268+G295+G314+G335+G372+G388+G407+G419+G441+G457+G488+G500</f>
        <v>2984308.7176818689</v>
      </c>
      <c r="H5" s="475">
        <f t="shared" si="0"/>
        <v>1328445.3447333893</v>
      </c>
      <c r="I5" s="475">
        <f t="shared" si="0"/>
        <v>1868295.3857832123</v>
      </c>
      <c r="J5" s="475">
        <f t="shared" si="0"/>
        <v>210884.74916439041</v>
      </c>
      <c r="K5" s="475">
        <f t="shared" si="0"/>
        <v>0</v>
      </c>
      <c r="L5" s="475">
        <f t="shared" si="0"/>
        <v>0</v>
      </c>
      <c r="M5" s="475">
        <f t="shared" si="0"/>
        <v>0</v>
      </c>
      <c r="N5" s="475">
        <f t="shared" si="0"/>
        <v>0</v>
      </c>
      <c r="O5" s="475">
        <f t="shared" si="0"/>
        <v>0</v>
      </c>
      <c r="P5" s="475">
        <f t="shared" si="0"/>
        <v>0</v>
      </c>
    </row>
    <row r="6" spans="3:18" ht="15.95" customHeight="1" thickTop="1">
      <c r="D6" s="318"/>
      <c r="Q6" s="3"/>
      <c r="R6" s="3"/>
    </row>
    <row r="7" spans="3:18" ht="15.95" customHeight="1">
      <c r="C7" s="476" t="s">
        <v>692</v>
      </c>
      <c r="G7" s="28"/>
      <c r="H7" s="28"/>
      <c r="I7" s="28"/>
      <c r="J7" s="28"/>
      <c r="K7" s="28"/>
      <c r="L7" s="28"/>
      <c r="M7" s="28"/>
      <c r="N7" s="28"/>
      <c r="O7" s="28"/>
      <c r="P7" s="28"/>
    </row>
    <row r="8" spans="3:18" ht="41.45" customHeight="1" thickBot="1">
      <c r="C8" s="477" t="s">
        <v>185</v>
      </c>
      <c r="D8" s="478" t="s">
        <v>186</v>
      </c>
      <c r="E8" s="478" t="s">
        <v>187</v>
      </c>
      <c r="F8" s="116" t="s">
        <v>415</v>
      </c>
      <c r="G8" s="501" t="s">
        <v>693</v>
      </c>
      <c r="H8" s="501" t="s">
        <v>694</v>
      </c>
      <c r="I8" s="501" t="s">
        <v>695</v>
      </c>
      <c r="J8" s="501" t="s">
        <v>696</v>
      </c>
      <c r="K8" s="501" t="s">
        <v>696</v>
      </c>
      <c r="L8" s="501" t="s">
        <v>696</v>
      </c>
      <c r="M8" s="501" t="s">
        <v>696</v>
      </c>
      <c r="N8" s="501" t="s">
        <v>696</v>
      </c>
      <c r="O8" s="501" t="s">
        <v>696</v>
      </c>
      <c r="P8" s="501" t="s">
        <v>696</v>
      </c>
      <c r="Q8" s="479" t="s">
        <v>190</v>
      </c>
      <c r="R8" s="328" t="s">
        <v>191</v>
      </c>
    </row>
    <row r="9" spans="3:18">
      <c r="C9" s="375" t="s">
        <v>124</v>
      </c>
      <c r="D9" s="500"/>
      <c r="E9" s="500"/>
      <c r="G9" s="502"/>
      <c r="H9" s="502"/>
      <c r="I9" s="502"/>
      <c r="J9" s="502"/>
      <c r="K9" s="502"/>
      <c r="L9" s="502"/>
      <c r="M9" s="502"/>
      <c r="N9" s="502"/>
      <c r="O9" s="502"/>
      <c r="P9" s="397"/>
      <c r="Q9" s="504"/>
      <c r="R9" s="329"/>
    </row>
    <row r="10" spans="3:18" ht="45">
      <c r="C10" s="480" t="s">
        <v>192</v>
      </c>
      <c r="D10" s="335" t="s">
        <v>697</v>
      </c>
      <c r="E10" s="336" t="s">
        <v>194</v>
      </c>
      <c r="G10" s="502" t="s">
        <v>698</v>
      </c>
      <c r="H10" s="502"/>
      <c r="I10" s="502"/>
      <c r="J10" s="502"/>
      <c r="K10" s="502"/>
      <c r="L10" s="502"/>
      <c r="M10" s="502"/>
      <c r="N10" s="502"/>
      <c r="O10" s="502"/>
      <c r="P10" s="397"/>
      <c r="Q10" s="504"/>
      <c r="R10" s="329" t="s">
        <v>195</v>
      </c>
    </row>
    <row r="11" spans="3:18" ht="22.5">
      <c r="C11" s="375" t="s">
        <v>699</v>
      </c>
      <c r="D11" s="336" t="s">
        <v>700</v>
      </c>
      <c r="E11" s="336" t="s">
        <v>701</v>
      </c>
      <c r="G11" s="503" t="s">
        <v>702</v>
      </c>
      <c r="H11" s="503" t="s">
        <v>703</v>
      </c>
      <c r="I11" s="503" t="s">
        <v>703</v>
      </c>
      <c r="J11" s="503" t="s">
        <v>704</v>
      </c>
      <c r="K11" s="503" t="s">
        <v>702</v>
      </c>
      <c r="L11" s="503" t="s">
        <v>702</v>
      </c>
      <c r="M11" s="503" t="s">
        <v>702</v>
      </c>
      <c r="N11" s="503" t="s">
        <v>702</v>
      </c>
      <c r="O11" s="503" t="s">
        <v>702</v>
      </c>
      <c r="P11" s="503" t="s">
        <v>702</v>
      </c>
      <c r="Q11" s="504"/>
      <c r="R11" s="420"/>
    </row>
    <row r="12" spans="3:18">
      <c r="C12" s="340"/>
      <c r="D12" s="335" t="s">
        <v>705</v>
      </c>
      <c r="E12" s="336" t="s">
        <v>214</v>
      </c>
      <c r="F12" s="28" t="s">
        <v>299</v>
      </c>
      <c r="G12" s="455"/>
      <c r="H12" s="455"/>
      <c r="I12" s="455"/>
      <c r="J12" s="455"/>
      <c r="K12" s="455"/>
      <c r="L12" s="455"/>
      <c r="M12" s="455"/>
      <c r="N12" s="455"/>
      <c r="O12" s="455"/>
      <c r="P12" s="455"/>
      <c r="Q12" s="504"/>
      <c r="R12" s="420"/>
    </row>
    <row r="13" spans="3:18">
      <c r="C13" s="340"/>
      <c r="D13" s="335"/>
      <c r="E13" s="336" t="s">
        <v>204</v>
      </c>
      <c r="F13" s="28" t="s">
        <v>329</v>
      </c>
      <c r="G13" s="438">
        <f t="shared" ref="G13:P13" si="1">_xlfn.XLOOKUP(G11,HLP_names_CS,HLP_rates_CS)</f>
        <v>273785.65687140235</v>
      </c>
      <c r="H13" s="438">
        <f t="shared" si="1"/>
        <v>160958.01452289679</v>
      </c>
      <c r="I13" s="438">
        <f t="shared" si="1"/>
        <v>160958.01452289679</v>
      </c>
      <c r="J13" s="438">
        <f t="shared" si="1"/>
        <v>66137.269877509767</v>
      </c>
      <c r="K13" s="438">
        <f t="shared" si="1"/>
        <v>273785.65687140235</v>
      </c>
      <c r="L13" s="438">
        <f t="shared" si="1"/>
        <v>273785.65687140235</v>
      </c>
      <c r="M13" s="438">
        <f t="shared" si="1"/>
        <v>273785.65687140235</v>
      </c>
      <c r="N13" s="438">
        <f t="shared" si="1"/>
        <v>273785.65687140235</v>
      </c>
      <c r="O13" s="438">
        <f t="shared" si="1"/>
        <v>273785.65687140235</v>
      </c>
      <c r="P13" s="438">
        <f t="shared" si="1"/>
        <v>273785.65687140235</v>
      </c>
      <c r="Q13" s="504"/>
      <c r="R13" s="427"/>
    </row>
    <row r="14" spans="3:18">
      <c r="C14" s="340"/>
      <c r="D14" s="335"/>
      <c r="E14" s="336" t="s">
        <v>206</v>
      </c>
      <c r="F14" s="28" t="s">
        <v>329</v>
      </c>
      <c r="G14" s="414"/>
      <c r="H14" s="414"/>
      <c r="I14" s="414"/>
      <c r="J14" s="414"/>
      <c r="K14" s="414"/>
      <c r="L14" s="414"/>
      <c r="M14" s="414"/>
      <c r="N14" s="414"/>
      <c r="O14" s="414"/>
      <c r="P14" s="414"/>
      <c r="Q14" s="504"/>
      <c r="R14" s="427"/>
    </row>
    <row r="15" spans="3:18">
      <c r="C15" s="343"/>
      <c r="D15" s="379"/>
      <c r="E15" s="379" t="s">
        <v>146</v>
      </c>
      <c r="F15" s="28" t="s">
        <v>207</v>
      </c>
      <c r="G15" s="380">
        <f t="shared" ref="G15:P15" si="2">G12*IF(G14="",G13,G14)</f>
        <v>0</v>
      </c>
      <c r="H15" s="380">
        <f t="shared" si="2"/>
        <v>0</v>
      </c>
      <c r="I15" s="380">
        <f t="shared" si="2"/>
        <v>0</v>
      </c>
      <c r="J15" s="380">
        <f t="shared" si="2"/>
        <v>0</v>
      </c>
      <c r="K15" s="380">
        <f t="shared" si="2"/>
        <v>0</v>
      </c>
      <c r="L15" s="380">
        <f t="shared" si="2"/>
        <v>0</v>
      </c>
      <c r="M15" s="380">
        <f t="shared" si="2"/>
        <v>0</v>
      </c>
      <c r="N15" s="380">
        <f t="shared" si="2"/>
        <v>0</v>
      </c>
      <c r="O15" s="380">
        <f t="shared" si="2"/>
        <v>0</v>
      </c>
      <c r="P15" s="380">
        <f t="shared" si="2"/>
        <v>0</v>
      </c>
      <c r="Q15" s="504"/>
      <c r="R15" s="420"/>
    </row>
    <row r="16" spans="3:18">
      <c r="C16" s="372"/>
      <c r="D16" s="373"/>
      <c r="E16" s="374" t="str">
        <f>C11</f>
        <v>Heap leach Pads (Default rates)</v>
      </c>
      <c r="F16" s="62" t="s">
        <v>207</v>
      </c>
      <c r="G16" s="481">
        <f t="shared" ref="G16:P16" si="3">G15</f>
        <v>0</v>
      </c>
      <c r="H16" s="481">
        <f t="shared" si="3"/>
        <v>0</v>
      </c>
      <c r="I16" s="481">
        <f t="shared" si="3"/>
        <v>0</v>
      </c>
      <c r="J16" s="481">
        <f t="shared" si="3"/>
        <v>0</v>
      </c>
      <c r="K16" s="481">
        <f t="shared" si="3"/>
        <v>0</v>
      </c>
      <c r="L16" s="481">
        <f t="shared" si="3"/>
        <v>0</v>
      </c>
      <c r="M16" s="481">
        <f t="shared" si="3"/>
        <v>0</v>
      </c>
      <c r="N16" s="481">
        <f t="shared" si="3"/>
        <v>0</v>
      </c>
      <c r="O16" s="481">
        <f t="shared" si="3"/>
        <v>0</v>
      </c>
      <c r="P16" s="481">
        <f t="shared" si="3"/>
        <v>0</v>
      </c>
      <c r="Q16" s="504"/>
      <c r="R16" s="420"/>
    </row>
    <row r="17" spans="3:18" ht="56.25">
      <c r="C17" s="482" t="s">
        <v>469</v>
      </c>
      <c r="D17" s="483" t="s">
        <v>706</v>
      </c>
      <c r="E17" s="346" t="s">
        <v>470</v>
      </c>
      <c r="F17" s="28" t="s">
        <v>123</v>
      </c>
      <c r="G17" s="456" t="s">
        <v>707</v>
      </c>
      <c r="H17" s="456" t="s">
        <v>708</v>
      </c>
      <c r="I17" s="456" t="s">
        <v>709</v>
      </c>
      <c r="J17" s="456" t="s">
        <v>710</v>
      </c>
      <c r="K17" s="456" t="s">
        <v>711</v>
      </c>
      <c r="L17" s="456" t="s">
        <v>711</v>
      </c>
      <c r="M17" s="456" t="s">
        <v>711</v>
      </c>
      <c r="N17" s="456" t="s">
        <v>712</v>
      </c>
      <c r="O17" s="456" t="s">
        <v>708</v>
      </c>
      <c r="P17" s="456" t="s">
        <v>713</v>
      </c>
      <c r="Q17" s="504"/>
      <c r="R17" s="427"/>
    </row>
    <row r="18" spans="3:18">
      <c r="C18" s="383"/>
      <c r="D18" s="484"/>
      <c r="E18" s="346" t="s">
        <v>503</v>
      </c>
      <c r="F18" s="28" t="s">
        <v>199</v>
      </c>
      <c r="G18" s="455"/>
      <c r="H18" s="455"/>
      <c r="I18" s="455"/>
      <c r="J18" s="455"/>
      <c r="K18" s="455"/>
      <c r="L18" s="455"/>
      <c r="M18" s="455"/>
      <c r="N18" s="455"/>
      <c r="O18" s="455"/>
      <c r="P18" s="455"/>
      <c r="Q18" s="504"/>
      <c r="R18" s="427"/>
    </row>
    <row r="19" spans="3:18">
      <c r="C19" s="383"/>
      <c r="D19" s="484"/>
      <c r="E19" s="346" t="s">
        <v>227</v>
      </c>
      <c r="F19" s="28" t="s">
        <v>475</v>
      </c>
      <c r="G19" s="342">
        <f t="shared" ref="G19:P19" si="4">_xlfn.XLOOKUP(G17,Tanks_vessels_names_CS,Tanks_vessels_rates_CS)</f>
        <v>47699.644353826101</v>
      </c>
      <c r="H19" s="342">
        <f t="shared" si="4"/>
        <v>30008.224095300633</v>
      </c>
      <c r="I19" s="342">
        <f t="shared" si="4"/>
        <v>103843.48921258037</v>
      </c>
      <c r="J19" s="342">
        <f t="shared" si="4"/>
        <v>15313.803593961336</v>
      </c>
      <c r="K19" s="342">
        <f t="shared" si="4"/>
        <v>70531.411672805887</v>
      </c>
      <c r="L19" s="342">
        <f t="shared" si="4"/>
        <v>70531.411672805887</v>
      </c>
      <c r="M19" s="342">
        <f t="shared" si="4"/>
        <v>70531.411672805887</v>
      </c>
      <c r="N19" s="342">
        <f t="shared" si="4"/>
        <v>11386.968335452781</v>
      </c>
      <c r="O19" s="342">
        <f t="shared" si="4"/>
        <v>30008.224095300633</v>
      </c>
      <c r="P19" s="342">
        <f t="shared" si="4"/>
        <v>47770.386556658908</v>
      </c>
      <c r="Q19" s="504"/>
      <c r="R19" s="427"/>
    </row>
    <row r="20" spans="3:18">
      <c r="C20" s="383"/>
      <c r="D20" s="484"/>
      <c r="E20" s="346" t="s">
        <v>229</v>
      </c>
      <c r="F20" s="28" t="s">
        <v>475</v>
      </c>
      <c r="G20" s="414"/>
      <c r="H20" s="414"/>
      <c r="I20" s="414"/>
      <c r="J20" s="414"/>
      <c r="K20" s="414"/>
      <c r="L20" s="414"/>
      <c r="M20" s="414"/>
      <c r="N20" s="414"/>
      <c r="O20" s="414"/>
      <c r="P20" s="414"/>
      <c r="Q20" s="504"/>
      <c r="R20" s="427"/>
    </row>
    <row r="21" spans="3:18">
      <c r="C21" s="383"/>
      <c r="D21" s="484"/>
      <c r="E21" s="346" t="s">
        <v>146</v>
      </c>
      <c r="F21" s="28" t="s">
        <v>207</v>
      </c>
      <c r="G21" s="424">
        <f t="shared" ref="G21:P21" si="5">IF(G20="",G19,G20)*G18</f>
        <v>0</v>
      </c>
      <c r="H21" s="424">
        <f t="shared" si="5"/>
        <v>0</v>
      </c>
      <c r="I21" s="424">
        <f t="shared" si="5"/>
        <v>0</v>
      </c>
      <c r="J21" s="424">
        <f t="shared" si="5"/>
        <v>0</v>
      </c>
      <c r="K21" s="424">
        <f t="shared" si="5"/>
        <v>0</v>
      </c>
      <c r="L21" s="424">
        <f t="shared" si="5"/>
        <v>0</v>
      </c>
      <c r="M21" s="424">
        <f t="shared" si="5"/>
        <v>0</v>
      </c>
      <c r="N21" s="424">
        <f t="shared" si="5"/>
        <v>0</v>
      </c>
      <c r="O21" s="424">
        <f t="shared" si="5"/>
        <v>0</v>
      </c>
      <c r="P21" s="424">
        <f t="shared" si="5"/>
        <v>0</v>
      </c>
      <c r="Q21" s="504"/>
      <c r="R21" s="427"/>
    </row>
    <row r="22" spans="3:18" ht="22.5">
      <c r="C22" s="383"/>
      <c r="D22" s="485" t="str">
        <f>'Cost Schedule'!C$1016</f>
        <v>Silo, Steel wall, Steel roof, Steel floor, Not lined, Single skin, 5000t</v>
      </c>
      <c r="E22" s="346" t="s">
        <v>503</v>
      </c>
      <c r="F22" s="28" t="s">
        <v>199</v>
      </c>
      <c r="G22" s="455"/>
      <c r="H22" s="455"/>
      <c r="I22" s="455"/>
      <c r="J22" s="455"/>
      <c r="K22" s="455"/>
      <c r="L22" s="455"/>
      <c r="M22" s="455"/>
      <c r="N22" s="455"/>
      <c r="O22" s="455"/>
      <c r="P22" s="455"/>
      <c r="Q22" s="504"/>
      <c r="R22" s="427"/>
    </row>
    <row r="23" spans="3:18">
      <c r="C23" s="383"/>
      <c r="D23" s="371"/>
      <c r="E23" s="346" t="s">
        <v>227</v>
      </c>
      <c r="F23" s="28" t="s">
        <v>475</v>
      </c>
      <c r="G23" s="342">
        <f t="shared" ref="G23:P23" si="6">_xlfn.XLOOKUP($D22,Tanks_vessels_names_CS,Tanks_vessels_rates_CS)</f>
        <v>103843.48921258037</v>
      </c>
      <c r="H23" s="342">
        <f t="shared" si="6"/>
        <v>103843.48921258037</v>
      </c>
      <c r="I23" s="342">
        <f t="shared" si="6"/>
        <v>103843.48921258037</v>
      </c>
      <c r="J23" s="342">
        <f t="shared" si="6"/>
        <v>103843.48921258037</v>
      </c>
      <c r="K23" s="342">
        <f t="shared" si="6"/>
        <v>103843.48921258037</v>
      </c>
      <c r="L23" s="342">
        <f t="shared" si="6"/>
        <v>103843.48921258037</v>
      </c>
      <c r="M23" s="342">
        <f t="shared" si="6"/>
        <v>103843.48921258037</v>
      </c>
      <c r="N23" s="342">
        <f t="shared" si="6"/>
        <v>103843.48921258037</v>
      </c>
      <c r="O23" s="342">
        <f t="shared" si="6"/>
        <v>103843.48921258037</v>
      </c>
      <c r="P23" s="342">
        <f t="shared" si="6"/>
        <v>103843.48921258037</v>
      </c>
      <c r="Q23" s="504"/>
      <c r="R23" s="427"/>
    </row>
    <row r="24" spans="3:18">
      <c r="C24" s="383"/>
      <c r="D24" s="371"/>
      <c r="E24" s="346" t="s">
        <v>229</v>
      </c>
      <c r="F24" s="28" t="s">
        <v>475</v>
      </c>
      <c r="G24" s="415"/>
      <c r="H24" s="415"/>
      <c r="I24" s="415"/>
      <c r="J24" s="415"/>
      <c r="K24" s="415"/>
      <c r="L24" s="415"/>
      <c r="M24" s="415"/>
      <c r="N24" s="415"/>
      <c r="O24" s="415"/>
      <c r="P24" s="415"/>
      <c r="Q24" s="504"/>
      <c r="R24" s="427"/>
    </row>
    <row r="25" spans="3:18">
      <c r="C25" s="383"/>
      <c r="D25" s="371"/>
      <c r="E25" s="346" t="s">
        <v>146</v>
      </c>
      <c r="F25" s="28" t="s">
        <v>207</v>
      </c>
      <c r="G25" s="424">
        <f t="shared" ref="G25:P25" si="7">IF(G24="",G23,G24)*G22</f>
        <v>0</v>
      </c>
      <c r="H25" s="424">
        <f t="shared" si="7"/>
        <v>0</v>
      </c>
      <c r="I25" s="424">
        <f t="shared" si="7"/>
        <v>0</v>
      </c>
      <c r="J25" s="424">
        <f t="shared" si="7"/>
        <v>0</v>
      </c>
      <c r="K25" s="424">
        <f t="shared" si="7"/>
        <v>0</v>
      </c>
      <c r="L25" s="424">
        <f t="shared" si="7"/>
        <v>0</v>
      </c>
      <c r="M25" s="424">
        <f t="shared" si="7"/>
        <v>0</v>
      </c>
      <c r="N25" s="424">
        <f t="shared" si="7"/>
        <v>0</v>
      </c>
      <c r="O25" s="424">
        <f t="shared" si="7"/>
        <v>0</v>
      </c>
      <c r="P25" s="424">
        <f t="shared" si="7"/>
        <v>0</v>
      </c>
      <c r="Q25" s="504"/>
      <c r="R25" s="427"/>
    </row>
    <row r="26" spans="3:18" ht="22.5">
      <c r="C26" s="383"/>
      <c r="D26" s="485" t="str">
        <f>'Cost Schedule'!C$1017</f>
        <v>Silo, Steel wall, Steel roof, Steel floor, Not lined, Single skin, 3000t</v>
      </c>
      <c r="E26" s="346" t="s">
        <v>503</v>
      </c>
      <c r="F26" s="28" t="s">
        <v>199</v>
      </c>
      <c r="G26" s="455"/>
      <c r="H26" s="455"/>
      <c r="I26" s="455"/>
      <c r="J26" s="455"/>
      <c r="K26" s="455"/>
      <c r="L26" s="455"/>
      <c r="M26" s="455"/>
      <c r="N26" s="455"/>
      <c r="O26" s="455"/>
      <c r="P26" s="455"/>
      <c r="Q26" s="504"/>
      <c r="R26" s="420"/>
    </row>
    <row r="27" spans="3:18">
      <c r="C27" s="383"/>
      <c r="D27" s="486"/>
      <c r="E27" s="346" t="s">
        <v>227</v>
      </c>
      <c r="F27" s="28" t="s">
        <v>475</v>
      </c>
      <c r="G27" s="342">
        <f t="shared" ref="G27:P27" si="8">_xlfn.XLOOKUP($D26,Tanks_vessels_names_CS,Tanks_vessels_rates_CS)</f>
        <v>69863.238958109083</v>
      </c>
      <c r="H27" s="342">
        <f t="shared" si="8"/>
        <v>69863.238958109083</v>
      </c>
      <c r="I27" s="342">
        <f t="shared" si="8"/>
        <v>69863.238958109083</v>
      </c>
      <c r="J27" s="342">
        <f t="shared" si="8"/>
        <v>69863.238958109083</v>
      </c>
      <c r="K27" s="342">
        <f t="shared" si="8"/>
        <v>69863.238958109083</v>
      </c>
      <c r="L27" s="342">
        <f t="shared" si="8"/>
        <v>69863.238958109083</v>
      </c>
      <c r="M27" s="342">
        <f t="shared" si="8"/>
        <v>69863.238958109083</v>
      </c>
      <c r="N27" s="342">
        <f t="shared" si="8"/>
        <v>69863.238958109083</v>
      </c>
      <c r="O27" s="342">
        <f t="shared" si="8"/>
        <v>69863.238958109083</v>
      </c>
      <c r="P27" s="342">
        <f t="shared" si="8"/>
        <v>69863.238958109083</v>
      </c>
      <c r="Q27" s="504"/>
      <c r="R27" s="420"/>
    </row>
    <row r="28" spans="3:18">
      <c r="C28" s="383"/>
      <c r="D28" s="371"/>
      <c r="E28" s="346" t="s">
        <v>229</v>
      </c>
      <c r="F28" s="28" t="s">
        <v>475</v>
      </c>
      <c r="G28" s="415"/>
      <c r="H28" s="415"/>
      <c r="I28" s="415"/>
      <c r="J28" s="415"/>
      <c r="K28" s="415"/>
      <c r="L28" s="415"/>
      <c r="M28" s="415"/>
      <c r="N28" s="415"/>
      <c r="O28" s="415"/>
      <c r="P28" s="415"/>
      <c r="Q28" s="504"/>
      <c r="R28" s="420"/>
    </row>
    <row r="29" spans="3:18">
      <c r="C29" s="383"/>
      <c r="D29" s="377"/>
      <c r="E29" s="346" t="s">
        <v>146</v>
      </c>
      <c r="F29" s="28" t="s">
        <v>207</v>
      </c>
      <c r="G29" s="424">
        <f t="shared" ref="G29:P29" si="9">IF(G28="",G27,G28)*G26</f>
        <v>0</v>
      </c>
      <c r="H29" s="424">
        <f t="shared" si="9"/>
        <v>0</v>
      </c>
      <c r="I29" s="424">
        <f t="shared" si="9"/>
        <v>0</v>
      </c>
      <c r="J29" s="424">
        <f t="shared" si="9"/>
        <v>0</v>
      </c>
      <c r="K29" s="424">
        <f t="shared" si="9"/>
        <v>0</v>
      </c>
      <c r="L29" s="424">
        <f t="shared" si="9"/>
        <v>0</v>
      </c>
      <c r="M29" s="424">
        <f t="shared" si="9"/>
        <v>0</v>
      </c>
      <c r="N29" s="424">
        <f t="shared" si="9"/>
        <v>0</v>
      </c>
      <c r="O29" s="424">
        <f t="shared" si="9"/>
        <v>0</v>
      </c>
      <c r="P29" s="424">
        <f t="shared" si="9"/>
        <v>0</v>
      </c>
      <c r="Q29" s="504"/>
      <c r="R29" s="420"/>
    </row>
    <row r="30" spans="3:18" ht="22.5">
      <c r="C30" s="383"/>
      <c r="D30" s="485" t="str">
        <f>'Cost Schedule'!C$1018</f>
        <v>Silo, Steel wall, Steel roof, Steel floor, Not lined, Single skin, 1250t</v>
      </c>
      <c r="E30" s="346" t="s">
        <v>503</v>
      </c>
      <c r="F30" s="28" t="s">
        <v>199</v>
      </c>
      <c r="G30" s="455"/>
      <c r="H30" s="455"/>
      <c r="I30" s="455"/>
      <c r="J30" s="455"/>
      <c r="K30" s="455"/>
      <c r="L30" s="455"/>
      <c r="M30" s="455"/>
      <c r="N30" s="455"/>
      <c r="O30" s="455"/>
      <c r="P30" s="455"/>
      <c r="Q30" s="504"/>
      <c r="R30" s="427"/>
    </row>
    <row r="31" spans="3:18">
      <c r="C31" s="383"/>
      <c r="D31" s="371"/>
      <c r="E31" s="346" t="s">
        <v>227</v>
      </c>
      <c r="F31" s="28" t="s">
        <v>475</v>
      </c>
      <c r="G31" s="342">
        <f t="shared" ref="G31:P31" si="10">_xlfn.XLOOKUP($D30,Tanks_vessels_names_CS,Tanks_vessels_rates_CS)</f>
        <v>47699.644353826101</v>
      </c>
      <c r="H31" s="342">
        <f t="shared" si="10"/>
        <v>47699.644353826101</v>
      </c>
      <c r="I31" s="342">
        <f t="shared" si="10"/>
        <v>47699.644353826101</v>
      </c>
      <c r="J31" s="342">
        <f t="shared" si="10"/>
        <v>47699.644353826101</v>
      </c>
      <c r="K31" s="342">
        <f t="shared" si="10"/>
        <v>47699.644353826101</v>
      </c>
      <c r="L31" s="342">
        <f t="shared" si="10"/>
        <v>47699.644353826101</v>
      </c>
      <c r="M31" s="342">
        <f t="shared" si="10"/>
        <v>47699.644353826101</v>
      </c>
      <c r="N31" s="342">
        <f t="shared" si="10"/>
        <v>47699.644353826101</v>
      </c>
      <c r="O31" s="342">
        <f t="shared" si="10"/>
        <v>47699.644353826101</v>
      </c>
      <c r="P31" s="342">
        <f t="shared" si="10"/>
        <v>47699.644353826101</v>
      </c>
      <c r="Q31" s="504"/>
      <c r="R31" s="427"/>
    </row>
    <row r="32" spans="3:18">
      <c r="C32" s="383"/>
      <c r="D32" s="371"/>
      <c r="E32" s="346" t="s">
        <v>229</v>
      </c>
      <c r="F32" s="28" t="s">
        <v>475</v>
      </c>
      <c r="G32" s="415"/>
      <c r="H32" s="415"/>
      <c r="I32" s="415"/>
      <c r="J32" s="415"/>
      <c r="K32" s="415"/>
      <c r="L32" s="415"/>
      <c r="M32" s="415"/>
      <c r="N32" s="415"/>
      <c r="O32" s="415"/>
      <c r="P32" s="415"/>
      <c r="Q32" s="504"/>
      <c r="R32" s="427"/>
    </row>
    <row r="33" spans="3:18">
      <c r="C33" s="383"/>
      <c r="D33" s="377"/>
      <c r="E33" s="346" t="s">
        <v>146</v>
      </c>
      <c r="F33" s="28" t="s">
        <v>207</v>
      </c>
      <c r="G33" s="424">
        <f t="shared" ref="G33:P33" si="11">IF(G32="",G31,G32)*G30</f>
        <v>0</v>
      </c>
      <c r="H33" s="424">
        <f t="shared" si="11"/>
        <v>0</v>
      </c>
      <c r="I33" s="424">
        <f t="shared" si="11"/>
        <v>0</v>
      </c>
      <c r="J33" s="424">
        <f t="shared" si="11"/>
        <v>0</v>
      </c>
      <c r="K33" s="424">
        <f t="shared" si="11"/>
        <v>0</v>
      </c>
      <c r="L33" s="424">
        <f t="shared" si="11"/>
        <v>0</v>
      </c>
      <c r="M33" s="424">
        <f t="shared" si="11"/>
        <v>0</v>
      </c>
      <c r="N33" s="424">
        <f t="shared" si="11"/>
        <v>0</v>
      </c>
      <c r="O33" s="424">
        <f t="shared" si="11"/>
        <v>0</v>
      </c>
      <c r="P33" s="424">
        <f t="shared" si="11"/>
        <v>0</v>
      </c>
      <c r="Q33" s="504"/>
      <c r="R33" s="427"/>
    </row>
    <row r="34" spans="3:18" ht="22.5">
      <c r="C34" s="383"/>
      <c r="D34" s="485" t="str">
        <f>'Cost Schedule'!C$1019</f>
        <v>Rail loading bin, Steel wall, Steel roof, Steel floor, Not lined, Single skin, 3000t</v>
      </c>
      <c r="E34" s="346" t="s">
        <v>503</v>
      </c>
      <c r="F34" s="28" t="s">
        <v>199</v>
      </c>
      <c r="G34" s="455"/>
      <c r="H34" s="455"/>
      <c r="I34" s="455"/>
      <c r="J34" s="455"/>
      <c r="K34" s="455"/>
      <c r="L34" s="455"/>
      <c r="M34" s="455"/>
      <c r="N34" s="455"/>
      <c r="O34" s="455"/>
      <c r="P34" s="455"/>
      <c r="Q34" s="504"/>
      <c r="R34" s="420"/>
    </row>
    <row r="35" spans="3:18">
      <c r="C35" s="383"/>
      <c r="D35" s="371"/>
      <c r="E35" s="346" t="s">
        <v>227</v>
      </c>
      <c r="F35" s="28" t="s">
        <v>475</v>
      </c>
      <c r="G35" s="342">
        <f t="shared" ref="G35:P35" si="12">_xlfn.XLOOKUP($D34,Tanks_vessels_names_CS,Tanks_vessels_rates_CS)</f>
        <v>70531.411672805887</v>
      </c>
      <c r="H35" s="342">
        <f t="shared" si="12"/>
        <v>70531.411672805887</v>
      </c>
      <c r="I35" s="342">
        <f t="shared" si="12"/>
        <v>70531.411672805887</v>
      </c>
      <c r="J35" s="342">
        <f t="shared" si="12"/>
        <v>70531.411672805887</v>
      </c>
      <c r="K35" s="342">
        <f t="shared" si="12"/>
        <v>70531.411672805887</v>
      </c>
      <c r="L35" s="342">
        <f t="shared" si="12"/>
        <v>70531.411672805887</v>
      </c>
      <c r="M35" s="342">
        <f t="shared" si="12"/>
        <v>70531.411672805887</v>
      </c>
      <c r="N35" s="342">
        <f t="shared" si="12"/>
        <v>70531.411672805887</v>
      </c>
      <c r="O35" s="342">
        <f t="shared" si="12"/>
        <v>70531.411672805887</v>
      </c>
      <c r="P35" s="342">
        <f t="shared" si="12"/>
        <v>70531.411672805887</v>
      </c>
      <c r="Q35" s="504"/>
      <c r="R35" s="420"/>
    </row>
    <row r="36" spans="3:18">
      <c r="C36" s="383"/>
      <c r="D36" s="371"/>
      <c r="E36" s="346" t="s">
        <v>229</v>
      </c>
      <c r="F36" s="28" t="s">
        <v>475</v>
      </c>
      <c r="G36" s="415"/>
      <c r="H36" s="415"/>
      <c r="I36" s="415"/>
      <c r="J36" s="415"/>
      <c r="K36" s="415"/>
      <c r="L36" s="415"/>
      <c r="M36" s="415"/>
      <c r="N36" s="415"/>
      <c r="O36" s="415"/>
      <c r="P36" s="415"/>
      <c r="Q36" s="504"/>
      <c r="R36" s="420"/>
    </row>
    <row r="37" spans="3:18">
      <c r="C37" s="383"/>
      <c r="D37" s="377"/>
      <c r="E37" s="346" t="s">
        <v>146</v>
      </c>
      <c r="F37" s="28" t="s">
        <v>207</v>
      </c>
      <c r="G37" s="424">
        <f t="shared" ref="G37:P37" si="13">IF(G36="",G35,G36)*G34</f>
        <v>0</v>
      </c>
      <c r="H37" s="424">
        <f t="shared" si="13"/>
        <v>0</v>
      </c>
      <c r="I37" s="424">
        <f t="shared" si="13"/>
        <v>0</v>
      </c>
      <c r="J37" s="424">
        <f t="shared" si="13"/>
        <v>0</v>
      </c>
      <c r="K37" s="424">
        <f t="shared" si="13"/>
        <v>0</v>
      </c>
      <c r="L37" s="424">
        <f t="shared" si="13"/>
        <v>0</v>
      </c>
      <c r="M37" s="424">
        <f t="shared" si="13"/>
        <v>0</v>
      </c>
      <c r="N37" s="424">
        <f t="shared" si="13"/>
        <v>0</v>
      </c>
      <c r="O37" s="424">
        <f t="shared" si="13"/>
        <v>0</v>
      </c>
      <c r="P37" s="424">
        <f t="shared" si="13"/>
        <v>0</v>
      </c>
      <c r="Q37" s="504"/>
      <c r="R37" s="420"/>
    </row>
    <row r="38" spans="3:18" ht="22.5">
      <c r="C38" s="383"/>
      <c r="D38" s="485" t="str">
        <f>'Cost Schedule'!C$1020</f>
        <v>Thickening, Steel, Open top, Steel floor, Not lined, Single skin, 100kL</v>
      </c>
      <c r="E38" s="346" t="s">
        <v>503</v>
      </c>
      <c r="F38" s="28" t="s">
        <v>199</v>
      </c>
      <c r="G38" s="455"/>
      <c r="H38" s="455"/>
      <c r="I38" s="455"/>
      <c r="J38" s="455"/>
      <c r="K38" s="455"/>
      <c r="L38" s="455"/>
      <c r="M38" s="455"/>
      <c r="N38" s="455"/>
      <c r="O38" s="455"/>
      <c r="P38" s="455"/>
      <c r="Q38" s="504"/>
      <c r="R38" s="427"/>
    </row>
    <row r="39" spans="3:18">
      <c r="C39" s="383"/>
      <c r="D39" s="371"/>
      <c r="E39" s="346" t="s">
        <v>227</v>
      </c>
      <c r="F39" s="28" t="s">
        <v>475</v>
      </c>
      <c r="G39" s="342">
        <f t="shared" ref="G39:P39" si="14">_xlfn.XLOOKUP($D38,Tanks_vessels_names_CS,Tanks_vessels_rates_CS)</f>
        <v>11386.968335452781</v>
      </c>
      <c r="H39" s="342">
        <f t="shared" si="14"/>
        <v>11386.968335452781</v>
      </c>
      <c r="I39" s="342">
        <f t="shared" si="14"/>
        <v>11386.968335452781</v>
      </c>
      <c r="J39" s="342">
        <f t="shared" si="14"/>
        <v>11386.968335452781</v>
      </c>
      <c r="K39" s="342">
        <f t="shared" si="14"/>
        <v>11386.968335452781</v>
      </c>
      <c r="L39" s="342">
        <f t="shared" si="14"/>
        <v>11386.968335452781</v>
      </c>
      <c r="M39" s="342">
        <f t="shared" si="14"/>
        <v>11386.968335452781</v>
      </c>
      <c r="N39" s="342">
        <f t="shared" si="14"/>
        <v>11386.968335452781</v>
      </c>
      <c r="O39" s="342">
        <f t="shared" si="14"/>
        <v>11386.968335452781</v>
      </c>
      <c r="P39" s="342">
        <f t="shared" si="14"/>
        <v>11386.968335452781</v>
      </c>
      <c r="Q39" s="504"/>
      <c r="R39" s="427"/>
    </row>
    <row r="40" spans="3:18">
      <c r="C40" s="383"/>
      <c r="D40" s="371"/>
      <c r="E40" s="346" t="s">
        <v>229</v>
      </c>
      <c r="F40" s="28" t="s">
        <v>475</v>
      </c>
      <c r="G40" s="415"/>
      <c r="H40" s="415"/>
      <c r="I40" s="415"/>
      <c r="J40" s="415"/>
      <c r="K40" s="415"/>
      <c r="L40" s="415"/>
      <c r="M40" s="415"/>
      <c r="N40" s="415"/>
      <c r="O40" s="415"/>
      <c r="P40" s="415"/>
      <c r="Q40" s="504"/>
      <c r="R40" s="427"/>
    </row>
    <row r="41" spans="3:18">
      <c r="C41" s="383"/>
      <c r="D41" s="377"/>
      <c r="E41" s="346" t="s">
        <v>146</v>
      </c>
      <c r="F41" s="28" t="s">
        <v>207</v>
      </c>
      <c r="G41" s="424">
        <f t="shared" ref="G41:P41" si="15">IF(G40="",G39,G40)*G38</f>
        <v>0</v>
      </c>
      <c r="H41" s="424">
        <f t="shared" si="15"/>
        <v>0</v>
      </c>
      <c r="I41" s="424">
        <f t="shared" si="15"/>
        <v>0</v>
      </c>
      <c r="J41" s="424">
        <f t="shared" si="15"/>
        <v>0</v>
      </c>
      <c r="K41" s="424">
        <f t="shared" si="15"/>
        <v>0</v>
      </c>
      <c r="L41" s="424">
        <f t="shared" si="15"/>
        <v>0</v>
      </c>
      <c r="M41" s="424">
        <f t="shared" si="15"/>
        <v>0</v>
      </c>
      <c r="N41" s="424">
        <f t="shared" si="15"/>
        <v>0</v>
      </c>
      <c r="O41" s="424">
        <f t="shared" si="15"/>
        <v>0</v>
      </c>
      <c r="P41" s="424">
        <f t="shared" si="15"/>
        <v>0</v>
      </c>
      <c r="Q41" s="504"/>
      <c r="R41" s="427"/>
    </row>
    <row r="42" spans="3:18" ht="22.5">
      <c r="C42" s="383"/>
      <c r="D42" s="485" t="str">
        <f>'Cost Schedule'!C$1021</f>
        <v>Thickening, Steel, Open top, Steel floor, Not lined, Single skin, 500kL</v>
      </c>
      <c r="E42" s="346" t="s">
        <v>503</v>
      </c>
      <c r="F42" s="28" t="s">
        <v>199</v>
      </c>
      <c r="G42" s="455"/>
      <c r="H42" s="455"/>
      <c r="I42" s="455"/>
      <c r="J42" s="455"/>
      <c r="K42" s="455"/>
      <c r="L42" s="455"/>
      <c r="M42" s="455"/>
      <c r="N42" s="455"/>
      <c r="O42" s="455"/>
      <c r="P42" s="455"/>
      <c r="Q42" s="504"/>
      <c r="R42" s="420"/>
    </row>
    <row r="43" spans="3:18">
      <c r="C43" s="383"/>
      <c r="D43" s="371"/>
      <c r="E43" s="346" t="s">
        <v>227</v>
      </c>
      <c r="F43" s="28" t="s">
        <v>475</v>
      </c>
      <c r="G43" s="342">
        <f t="shared" ref="G43:P43" si="16">_xlfn.XLOOKUP($D42,Tanks_vessels_names_CS,Tanks_vessels_rates_CS)</f>
        <v>30008.224095300633</v>
      </c>
      <c r="H43" s="342">
        <f t="shared" si="16"/>
        <v>30008.224095300633</v>
      </c>
      <c r="I43" s="342">
        <f t="shared" si="16"/>
        <v>30008.224095300633</v>
      </c>
      <c r="J43" s="342">
        <f t="shared" si="16"/>
        <v>30008.224095300633</v>
      </c>
      <c r="K43" s="342">
        <f t="shared" si="16"/>
        <v>30008.224095300633</v>
      </c>
      <c r="L43" s="342">
        <f t="shared" si="16"/>
        <v>30008.224095300633</v>
      </c>
      <c r="M43" s="342">
        <f t="shared" si="16"/>
        <v>30008.224095300633</v>
      </c>
      <c r="N43" s="342">
        <f t="shared" si="16"/>
        <v>30008.224095300633</v>
      </c>
      <c r="O43" s="342">
        <f t="shared" si="16"/>
        <v>30008.224095300633</v>
      </c>
      <c r="P43" s="342">
        <f t="shared" si="16"/>
        <v>30008.224095300633</v>
      </c>
      <c r="Q43" s="504"/>
      <c r="R43" s="420"/>
    </row>
    <row r="44" spans="3:18">
      <c r="C44" s="383"/>
      <c r="D44" s="371"/>
      <c r="E44" s="346" t="s">
        <v>229</v>
      </c>
      <c r="F44" s="28" t="s">
        <v>475</v>
      </c>
      <c r="G44" s="415"/>
      <c r="H44" s="415"/>
      <c r="I44" s="415"/>
      <c r="J44" s="415"/>
      <c r="K44" s="415"/>
      <c r="L44" s="415"/>
      <c r="M44" s="415"/>
      <c r="N44" s="415"/>
      <c r="O44" s="415"/>
      <c r="P44" s="415"/>
      <c r="Q44" s="504"/>
      <c r="R44" s="420"/>
    </row>
    <row r="45" spans="3:18">
      <c r="C45" s="383"/>
      <c r="D45" s="377"/>
      <c r="E45" s="346" t="s">
        <v>146</v>
      </c>
      <c r="F45" s="28" t="s">
        <v>207</v>
      </c>
      <c r="G45" s="424">
        <f t="shared" ref="G45:P45" si="17">IF(G44="",G43,G44)*G42</f>
        <v>0</v>
      </c>
      <c r="H45" s="424">
        <f t="shared" si="17"/>
        <v>0</v>
      </c>
      <c r="I45" s="424">
        <f t="shared" si="17"/>
        <v>0</v>
      </c>
      <c r="J45" s="424">
        <f t="shared" si="17"/>
        <v>0</v>
      </c>
      <c r="K45" s="424">
        <f t="shared" si="17"/>
        <v>0</v>
      </c>
      <c r="L45" s="424">
        <f t="shared" si="17"/>
        <v>0</v>
      </c>
      <c r="M45" s="424">
        <f t="shared" si="17"/>
        <v>0</v>
      </c>
      <c r="N45" s="424">
        <f t="shared" si="17"/>
        <v>0</v>
      </c>
      <c r="O45" s="424">
        <f t="shared" si="17"/>
        <v>0</v>
      </c>
      <c r="P45" s="424">
        <f t="shared" si="17"/>
        <v>0</v>
      </c>
      <c r="Q45" s="504"/>
      <c r="R45" s="420"/>
    </row>
    <row r="46" spans="3:18" ht="22.5">
      <c r="C46" s="383"/>
      <c r="D46" s="485" t="str">
        <f>'Cost Schedule'!C$1022</f>
        <v>Thickening, Steel, Open top, Steel floor, Not lined, Single skin, 1000kL</v>
      </c>
      <c r="E46" s="346" t="s">
        <v>503</v>
      </c>
      <c r="F46" s="28" t="s">
        <v>199</v>
      </c>
      <c r="G46" s="455"/>
      <c r="H46" s="455"/>
      <c r="I46" s="455"/>
      <c r="J46" s="455"/>
      <c r="K46" s="455"/>
      <c r="L46" s="455"/>
      <c r="M46" s="455"/>
      <c r="N46" s="455"/>
      <c r="O46" s="455"/>
      <c r="P46" s="455"/>
      <c r="Q46" s="504"/>
      <c r="R46" s="420"/>
    </row>
    <row r="47" spans="3:18">
      <c r="C47" s="383"/>
      <c r="D47" s="371"/>
      <c r="E47" s="346" t="s">
        <v>227</v>
      </c>
      <c r="F47" s="28" t="s">
        <v>475</v>
      </c>
      <c r="G47" s="342">
        <f t="shared" ref="G47:P47" si="18">_xlfn.XLOOKUP($D46,Tanks_vessels_names_CS,Tanks_vessels_rates_CS)</f>
        <v>47770.386556658908</v>
      </c>
      <c r="H47" s="342">
        <f t="shared" si="18"/>
        <v>47770.386556658908</v>
      </c>
      <c r="I47" s="342">
        <f t="shared" si="18"/>
        <v>47770.386556658908</v>
      </c>
      <c r="J47" s="342">
        <f t="shared" si="18"/>
        <v>47770.386556658908</v>
      </c>
      <c r="K47" s="342">
        <f t="shared" si="18"/>
        <v>47770.386556658908</v>
      </c>
      <c r="L47" s="342">
        <f t="shared" si="18"/>
        <v>47770.386556658908</v>
      </c>
      <c r="M47" s="342">
        <f t="shared" si="18"/>
        <v>47770.386556658908</v>
      </c>
      <c r="N47" s="342">
        <f t="shared" si="18"/>
        <v>47770.386556658908</v>
      </c>
      <c r="O47" s="342">
        <f t="shared" si="18"/>
        <v>47770.386556658908</v>
      </c>
      <c r="P47" s="342">
        <f t="shared" si="18"/>
        <v>47770.386556658908</v>
      </c>
      <c r="Q47" s="504"/>
      <c r="R47" s="420"/>
    </row>
    <row r="48" spans="3:18">
      <c r="C48" s="383"/>
      <c r="D48" s="371"/>
      <c r="E48" s="346" t="s">
        <v>229</v>
      </c>
      <c r="F48" s="28" t="s">
        <v>475</v>
      </c>
      <c r="G48" s="415"/>
      <c r="H48" s="415"/>
      <c r="I48" s="415"/>
      <c r="J48" s="415"/>
      <c r="K48" s="415"/>
      <c r="L48" s="415"/>
      <c r="M48" s="415"/>
      <c r="N48" s="415"/>
      <c r="O48" s="415"/>
      <c r="P48" s="415"/>
      <c r="Q48" s="504"/>
      <c r="R48" s="420"/>
    </row>
    <row r="49" spans="3:18">
      <c r="C49" s="383"/>
      <c r="D49" s="377"/>
      <c r="E49" s="346" t="s">
        <v>146</v>
      </c>
      <c r="F49" s="28" t="s">
        <v>207</v>
      </c>
      <c r="G49" s="424">
        <f t="shared" ref="G49:P49" si="19">IF(G48="",G47,G48)*G46</f>
        <v>0</v>
      </c>
      <c r="H49" s="424">
        <f t="shared" si="19"/>
        <v>0</v>
      </c>
      <c r="I49" s="424">
        <f t="shared" si="19"/>
        <v>0</v>
      </c>
      <c r="J49" s="424">
        <f t="shared" si="19"/>
        <v>0</v>
      </c>
      <c r="K49" s="424">
        <f t="shared" si="19"/>
        <v>0</v>
      </c>
      <c r="L49" s="424">
        <f t="shared" si="19"/>
        <v>0</v>
      </c>
      <c r="M49" s="424">
        <f t="shared" si="19"/>
        <v>0</v>
      </c>
      <c r="N49" s="424">
        <f t="shared" si="19"/>
        <v>0</v>
      </c>
      <c r="O49" s="424">
        <f t="shared" si="19"/>
        <v>0</v>
      </c>
      <c r="P49" s="424">
        <f t="shared" si="19"/>
        <v>0</v>
      </c>
      <c r="Q49" s="504"/>
      <c r="R49" s="420"/>
    </row>
    <row r="50" spans="3:18" ht="22.5">
      <c r="C50" s="383"/>
      <c r="D50" s="485" t="str">
        <f>'Cost Schedule'!C$1023</f>
        <v>Thickening, Steel, Open top, Steel floor, Not lined, Single skin, 2500kL</v>
      </c>
      <c r="E50" s="346" t="s">
        <v>503</v>
      </c>
      <c r="F50" s="28" t="s">
        <v>199</v>
      </c>
      <c r="G50" s="455"/>
      <c r="H50" s="455"/>
      <c r="I50" s="455"/>
      <c r="J50" s="455"/>
      <c r="K50" s="455"/>
      <c r="L50" s="455"/>
      <c r="M50" s="455"/>
      <c r="N50" s="455"/>
      <c r="O50" s="455"/>
      <c r="P50" s="455"/>
      <c r="Q50" s="504"/>
      <c r="R50" s="420"/>
    </row>
    <row r="51" spans="3:18">
      <c r="C51" s="383"/>
      <c r="D51" s="371"/>
      <c r="E51" s="346" t="s">
        <v>227</v>
      </c>
      <c r="F51" s="28" t="s">
        <v>475</v>
      </c>
      <c r="G51" s="342">
        <f t="shared" ref="G51:P51" si="20">_xlfn.XLOOKUP($D50,Tanks_vessels_names_CS,Tanks_vessels_rates_CS)</f>
        <v>82425.173653061036</v>
      </c>
      <c r="H51" s="342">
        <f t="shared" si="20"/>
        <v>82425.173653061036</v>
      </c>
      <c r="I51" s="342">
        <f t="shared" si="20"/>
        <v>82425.173653061036</v>
      </c>
      <c r="J51" s="342">
        <f t="shared" si="20"/>
        <v>82425.173653061036</v>
      </c>
      <c r="K51" s="342">
        <f t="shared" si="20"/>
        <v>82425.173653061036</v>
      </c>
      <c r="L51" s="342">
        <f t="shared" si="20"/>
        <v>82425.173653061036</v>
      </c>
      <c r="M51" s="342">
        <f t="shared" si="20"/>
        <v>82425.173653061036</v>
      </c>
      <c r="N51" s="342">
        <f t="shared" si="20"/>
        <v>82425.173653061036</v>
      </c>
      <c r="O51" s="342">
        <f t="shared" si="20"/>
        <v>82425.173653061036</v>
      </c>
      <c r="P51" s="342">
        <f t="shared" si="20"/>
        <v>82425.173653061036</v>
      </c>
      <c r="Q51" s="504"/>
      <c r="R51" s="420"/>
    </row>
    <row r="52" spans="3:18">
      <c r="C52" s="383"/>
      <c r="D52" s="371"/>
      <c r="E52" s="346" t="s">
        <v>229</v>
      </c>
      <c r="F52" s="28" t="s">
        <v>475</v>
      </c>
      <c r="G52" s="415"/>
      <c r="H52" s="415"/>
      <c r="I52" s="415"/>
      <c r="J52" s="415"/>
      <c r="K52" s="415"/>
      <c r="L52" s="415"/>
      <c r="M52" s="415"/>
      <c r="N52" s="415"/>
      <c r="O52" s="415"/>
      <c r="P52" s="415"/>
      <c r="Q52" s="504"/>
      <c r="R52" s="420"/>
    </row>
    <row r="53" spans="3:18">
      <c r="C53" s="383"/>
      <c r="D53" s="377"/>
      <c r="E53" s="346" t="s">
        <v>146</v>
      </c>
      <c r="F53" s="28" t="s">
        <v>207</v>
      </c>
      <c r="G53" s="424">
        <f t="shared" ref="G53:P53" si="21">IF(G52="",G51,G52)*G50</f>
        <v>0</v>
      </c>
      <c r="H53" s="424">
        <f t="shared" si="21"/>
        <v>0</v>
      </c>
      <c r="I53" s="424">
        <f t="shared" si="21"/>
        <v>0</v>
      </c>
      <c r="J53" s="424">
        <f t="shared" si="21"/>
        <v>0</v>
      </c>
      <c r="K53" s="424">
        <f t="shared" si="21"/>
        <v>0</v>
      </c>
      <c r="L53" s="424">
        <f t="shared" si="21"/>
        <v>0</v>
      </c>
      <c r="M53" s="424">
        <f t="shared" si="21"/>
        <v>0</v>
      </c>
      <c r="N53" s="424">
        <f t="shared" si="21"/>
        <v>0</v>
      </c>
      <c r="O53" s="424">
        <f t="shared" si="21"/>
        <v>0</v>
      </c>
      <c r="P53" s="424">
        <f t="shared" si="21"/>
        <v>0</v>
      </c>
      <c r="Q53" s="504"/>
      <c r="R53" s="420"/>
    </row>
    <row r="54" spans="3:18" ht="22.5">
      <c r="C54" s="383"/>
      <c r="D54" s="485" t="str">
        <f>'Cost Schedule'!C$1024</f>
        <v>Thickening, Steel, Open top, Steel floor, Not lined, Single skin, 5000kL</v>
      </c>
      <c r="E54" s="346" t="s">
        <v>503</v>
      </c>
      <c r="F54" s="28" t="s">
        <v>199</v>
      </c>
      <c r="G54" s="455"/>
      <c r="H54" s="455"/>
      <c r="I54" s="455"/>
      <c r="J54" s="455"/>
      <c r="K54" s="455"/>
      <c r="L54" s="455"/>
      <c r="M54" s="455"/>
      <c r="N54" s="455"/>
      <c r="O54" s="455"/>
      <c r="P54" s="455"/>
      <c r="Q54" s="504"/>
      <c r="R54" s="420"/>
    </row>
    <row r="55" spans="3:18">
      <c r="C55" s="383"/>
      <c r="D55" s="371"/>
      <c r="E55" s="346" t="s">
        <v>227</v>
      </c>
      <c r="F55" s="28" t="s">
        <v>475</v>
      </c>
      <c r="G55" s="342">
        <f t="shared" ref="G55:P55" si="22">_xlfn.XLOOKUP($D54,Tanks_vessels_names_CS,Tanks_vessels_rates_CS)</f>
        <v>136798.38932424033</v>
      </c>
      <c r="H55" s="342">
        <f t="shared" si="22"/>
        <v>136798.38932424033</v>
      </c>
      <c r="I55" s="342">
        <f t="shared" si="22"/>
        <v>136798.38932424033</v>
      </c>
      <c r="J55" s="342">
        <f t="shared" si="22"/>
        <v>136798.38932424033</v>
      </c>
      <c r="K55" s="342">
        <f t="shared" si="22"/>
        <v>136798.38932424033</v>
      </c>
      <c r="L55" s="342">
        <f t="shared" si="22"/>
        <v>136798.38932424033</v>
      </c>
      <c r="M55" s="342">
        <f t="shared" si="22"/>
        <v>136798.38932424033</v>
      </c>
      <c r="N55" s="342">
        <f t="shared" si="22"/>
        <v>136798.38932424033</v>
      </c>
      <c r="O55" s="342">
        <f t="shared" si="22"/>
        <v>136798.38932424033</v>
      </c>
      <c r="P55" s="342">
        <f t="shared" si="22"/>
        <v>136798.38932424033</v>
      </c>
      <c r="Q55" s="504"/>
      <c r="R55" s="420"/>
    </row>
    <row r="56" spans="3:18">
      <c r="C56" s="383"/>
      <c r="D56" s="371"/>
      <c r="E56" s="346" t="s">
        <v>229</v>
      </c>
      <c r="F56" s="28" t="s">
        <v>475</v>
      </c>
      <c r="G56" s="415"/>
      <c r="H56" s="415"/>
      <c r="I56" s="415"/>
      <c r="J56" s="415"/>
      <c r="K56" s="415"/>
      <c r="L56" s="415"/>
      <c r="M56" s="415"/>
      <c r="N56" s="415"/>
      <c r="O56" s="415"/>
      <c r="P56" s="415"/>
      <c r="Q56" s="504"/>
      <c r="R56" s="420"/>
    </row>
    <row r="57" spans="3:18">
      <c r="C57" s="383"/>
      <c r="D57" s="377"/>
      <c r="E57" s="346" t="s">
        <v>146</v>
      </c>
      <c r="F57" s="28" t="s">
        <v>207</v>
      </c>
      <c r="G57" s="424">
        <f t="shared" ref="G57:P57" si="23">IF(G56="",G55,G56)*G54</f>
        <v>0</v>
      </c>
      <c r="H57" s="424">
        <f t="shared" si="23"/>
        <v>0</v>
      </c>
      <c r="I57" s="424">
        <f t="shared" si="23"/>
        <v>0</v>
      </c>
      <c r="J57" s="424">
        <f t="shared" si="23"/>
        <v>0</v>
      </c>
      <c r="K57" s="424">
        <f t="shared" si="23"/>
        <v>0</v>
      </c>
      <c r="L57" s="424">
        <f t="shared" si="23"/>
        <v>0</v>
      </c>
      <c r="M57" s="424">
        <f t="shared" si="23"/>
        <v>0</v>
      </c>
      <c r="N57" s="424">
        <f t="shared" si="23"/>
        <v>0</v>
      </c>
      <c r="O57" s="424">
        <f t="shared" si="23"/>
        <v>0</v>
      </c>
      <c r="P57" s="424">
        <f t="shared" si="23"/>
        <v>0</v>
      </c>
      <c r="Q57" s="504"/>
      <c r="R57" s="420"/>
    </row>
    <row r="58" spans="3:18" ht="22.5">
      <c r="C58" s="383"/>
      <c r="D58" s="485" t="str">
        <f>'Cost Schedule'!C$1025</f>
        <v>Thickening, Steel, Open top, Steel floor, Not lined, Single skin, 10000kL</v>
      </c>
      <c r="E58" s="346" t="s">
        <v>503</v>
      </c>
      <c r="F58" s="28" t="s">
        <v>199</v>
      </c>
      <c r="G58" s="455"/>
      <c r="H58" s="455"/>
      <c r="I58" s="455"/>
      <c r="J58" s="455"/>
      <c r="K58" s="455"/>
      <c r="L58" s="455"/>
      <c r="M58" s="455"/>
      <c r="N58" s="455"/>
      <c r="O58" s="455"/>
      <c r="P58" s="455"/>
      <c r="Q58" s="504"/>
      <c r="R58" s="420"/>
    </row>
    <row r="59" spans="3:18">
      <c r="C59" s="383"/>
      <c r="D59" s="371"/>
      <c r="E59" s="346" t="s">
        <v>227</v>
      </c>
      <c r="F59" s="28" t="s">
        <v>475</v>
      </c>
      <c r="G59" s="342">
        <f t="shared" ref="G59:P59" si="24">_xlfn.XLOOKUP($D58,Tanks_vessels_names_CS,Tanks_vessels_rates_CS)</f>
        <v>236511.88960732095</v>
      </c>
      <c r="H59" s="342">
        <f t="shared" si="24"/>
        <v>236511.88960732095</v>
      </c>
      <c r="I59" s="342">
        <f t="shared" si="24"/>
        <v>236511.88960732095</v>
      </c>
      <c r="J59" s="342">
        <f t="shared" si="24"/>
        <v>236511.88960732095</v>
      </c>
      <c r="K59" s="342">
        <f t="shared" si="24"/>
        <v>236511.88960732095</v>
      </c>
      <c r="L59" s="342">
        <f t="shared" si="24"/>
        <v>236511.88960732095</v>
      </c>
      <c r="M59" s="342">
        <f t="shared" si="24"/>
        <v>236511.88960732095</v>
      </c>
      <c r="N59" s="342">
        <f t="shared" si="24"/>
        <v>236511.88960732095</v>
      </c>
      <c r="O59" s="342">
        <f t="shared" si="24"/>
        <v>236511.88960732095</v>
      </c>
      <c r="P59" s="342">
        <f t="shared" si="24"/>
        <v>236511.88960732095</v>
      </c>
      <c r="Q59" s="504"/>
      <c r="R59" s="420"/>
    </row>
    <row r="60" spans="3:18">
      <c r="C60" s="383"/>
      <c r="D60" s="371"/>
      <c r="E60" s="346" t="s">
        <v>229</v>
      </c>
      <c r="F60" s="28" t="s">
        <v>475</v>
      </c>
      <c r="G60" s="415"/>
      <c r="H60" s="415"/>
      <c r="I60" s="415"/>
      <c r="J60" s="415"/>
      <c r="K60" s="415"/>
      <c r="L60" s="415"/>
      <c r="M60" s="415"/>
      <c r="N60" s="415"/>
      <c r="O60" s="415"/>
      <c r="P60" s="415"/>
      <c r="Q60" s="504"/>
      <c r="R60" s="420"/>
    </row>
    <row r="61" spans="3:18">
      <c r="C61" s="383"/>
      <c r="D61" s="377"/>
      <c r="E61" s="346" t="s">
        <v>146</v>
      </c>
      <c r="F61" s="28" t="s">
        <v>207</v>
      </c>
      <c r="G61" s="424">
        <f t="shared" ref="G61:P61" si="25">IF(G60="",G59,G60)*G58</f>
        <v>0</v>
      </c>
      <c r="H61" s="424">
        <f t="shared" si="25"/>
        <v>0</v>
      </c>
      <c r="I61" s="424">
        <f t="shared" si="25"/>
        <v>0</v>
      </c>
      <c r="J61" s="424">
        <f t="shared" si="25"/>
        <v>0</v>
      </c>
      <c r="K61" s="424">
        <f t="shared" si="25"/>
        <v>0</v>
      </c>
      <c r="L61" s="424">
        <f t="shared" si="25"/>
        <v>0</v>
      </c>
      <c r="M61" s="424">
        <f t="shared" si="25"/>
        <v>0</v>
      </c>
      <c r="N61" s="424">
        <f t="shared" si="25"/>
        <v>0</v>
      </c>
      <c r="O61" s="424">
        <f t="shared" si="25"/>
        <v>0</v>
      </c>
      <c r="P61" s="424">
        <f t="shared" si="25"/>
        <v>0</v>
      </c>
      <c r="Q61" s="504"/>
      <c r="R61" s="420"/>
    </row>
    <row r="62" spans="3:18" ht="22.5">
      <c r="C62" s="383"/>
      <c r="D62" s="485" t="str">
        <f>'Cost Schedule'!C$1026</f>
        <v>Rail loading bin, Concrete wall, Concrete roof, Concrete base, Not lined, Single skin, 5000t</v>
      </c>
      <c r="E62" s="346" t="s">
        <v>503</v>
      </c>
      <c r="F62" s="28" t="s">
        <v>199</v>
      </c>
      <c r="G62" s="455"/>
      <c r="H62" s="455"/>
      <c r="I62" s="455"/>
      <c r="J62" s="455"/>
      <c r="K62" s="455"/>
      <c r="L62" s="455"/>
      <c r="M62" s="455"/>
      <c r="N62" s="455"/>
      <c r="O62" s="455"/>
      <c r="P62" s="455"/>
      <c r="Q62" s="504"/>
      <c r="R62" s="420"/>
    </row>
    <row r="63" spans="3:18">
      <c r="C63" s="383"/>
      <c r="D63" s="371"/>
      <c r="E63" s="346" t="s">
        <v>227</v>
      </c>
      <c r="F63" s="28" t="s">
        <v>475</v>
      </c>
      <c r="G63" s="342">
        <f t="shared" ref="G63:P63" si="26">_xlfn.XLOOKUP($D62,Tanks_vessels_names_CS,Tanks_vessels_rates_CS)</f>
        <v>80790.493661522007</v>
      </c>
      <c r="H63" s="342">
        <f t="shared" si="26"/>
        <v>80790.493661522007</v>
      </c>
      <c r="I63" s="342">
        <f t="shared" si="26"/>
        <v>80790.493661522007</v>
      </c>
      <c r="J63" s="342">
        <f t="shared" si="26"/>
        <v>80790.493661522007</v>
      </c>
      <c r="K63" s="342">
        <f t="shared" si="26"/>
        <v>80790.493661522007</v>
      </c>
      <c r="L63" s="342">
        <f t="shared" si="26"/>
        <v>80790.493661522007</v>
      </c>
      <c r="M63" s="342">
        <f t="shared" si="26"/>
        <v>80790.493661522007</v>
      </c>
      <c r="N63" s="342">
        <f t="shared" si="26"/>
        <v>80790.493661522007</v>
      </c>
      <c r="O63" s="342">
        <f t="shared" si="26"/>
        <v>80790.493661522007</v>
      </c>
      <c r="P63" s="342">
        <f t="shared" si="26"/>
        <v>80790.493661522007</v>
      </c>
      <c r="Q63" s="504"/>
      <c r="R63" s="420"/>
    </row>
    <row r="64" spans="3:18">
      <c r="C64" s="383"/>
      <c r="D64" s="371"/>
      <c r="E64" s="346" t="s">
        <v>229</v>
      </c>
      <c r="F64" s="28" t="s">
        <v>475</v>
      </c>
      <c r="G64" s="415"/>
      <c r="H64" s="415"/>
      <c r="I64" s="415"/>
      <c r="J64" s="415"/>
      <c r="K64" s="415"/>
      <c r="L64" s="415"/>
      <c r="M64" s="415"/>
      <c r="N64" s="415"/>
      <c r="O64" s="415"/>
      <c r="P64" s="415"/>
      <c r="Q64" s="504"/>
      <c r="R64" s="420"/>
    </row>
    <row r="65" spans="3:18">
      <c r="C65" s="383"/>
      <c r="D65" s="377"/>
      <c r="E65" s="346" t="s">
        <v>146</v>
      </c>
      <c r="F65" s="28" t="s">
        <v>207</v>
      </c>
      <c r="G65" s="424">
        <f t="shared" ref="G65:P65" si="27">IF(G64="",G63,G64)*G62</f>
        <v>0</v>
      </c>
      <c r="H65" s="424">
        <f t="shared" si="27"/>
        <v>0</v>
      </c>
      <c r="I65" s="424">
        <f t="shared" si="27"/>
        <v>0</v>
      </c>
      <c r="J65" s="424">
        <f t="shared" si="27"/>
        <v>0</v>
      </c>
      <c r="K65" s="424">
        <f t="shared" si="27"/>
        <v>0</v>
      </c>
      <c r="L65" s="424">
        <f t="shared" si="27"/>
        <v>0</v>
      </c>
      <c r="M65" s="424">
        <f t="shared" si="27"/>
        <v>0</v>
      </c>
      <c r="N65" s="424">
        <f t="shared" si="27"/>
        <v>0</v>
      </c>
      <c r="O65" s="424">
        <f t="shared" si="27"/>
        <v>0</v>
      </c>
      <c r="P65" s="424">
        <f t="shared" si="27"/>
        <v>0</v>
      </c>
      <c r="Q65" s="504"/>
      <c r="R65" s="420"/>
    </row>
    <row r="66" spans="3:18">
      <c r="C66" s="383"/>
      <c r="D66" s="376" t="str">
        <f>'Cost Schedule'!$C$1027</f>
        <v>Horizontal, Steel, Buried, Single skin, &lt;=5kL</v>
      </c>
      <c r="E66" s="346" t="s">
        <v>503</v>
      </c>
      <c r="F66" s="28" t="s">
        <v>199</v>
      </c>
      <c r="G66" s="455"/>
      <c r="H66" s="455"/>
      <c r="I66" s="455"/>
      <c r="J66" s="455"/>
      <c r="K66" s="455"/>
      <c r="L66" s="455"/>
      <c r="M66" s="455"/>
      <c r="N66" s="455"/>
      <c r="O66" s="455"/>
      <c r="P66" s="455"/>
      <c r="Q66" s="504"/>
      <c r="R66" s="420"/>
    </row>
    <row r="67" spans="3:18">
      <c r="C67" s="383"/>
      <c r="D67" s="371"/>
      <c r="E67" s="346" t="s">
        <v>227</v>
      </c>
      <c r="F67" s="28" t="s">
        <v>475</v>
      </c>
      <c r="G67" s="342">
        <f t="shared" ref="G67:P67" si="28">_xlfn.XLOOKUP($D66,Tanks_vessels_names_CS,Tanks_vessels_rates_CS)</f>
        <v>10973.846640948901</v>
      </c>
      <c r="H67" s="342">
        <f t="shared" si="28"/>
        <v>10973.846640948901</v>
      </c>
      <c r="I67" s="342">
        <f t="shared" si="28"/>
        <v>10973.846640948901</v>
      </c>
      <c r="J67" s="342">
        <f t="shared" si="28"/>
        <v>10973.846640948901</v>
      </c>
      <c r="K67" s="342">
        <f t="shared" si="28"/>
        <v>10973.846640948901</v>
      </c>
      <c r="L67" s="342">
        <f t="shared" si="28"/>
        <v>10973.846640948901</v>
      </c>
      <c r="M67" s="342">
        <f t="shared" si="28"/>
        <v>10973.846640948901</v>
      </c>
      <c r="N67" s="342">
        <f t="shared" si="28"/>
        <v>10973.846640948901</v>
      </c>
      <c r="O67" s="342">
        <f t="shared" si="28"/>
        <v>10973.846640948901</v>
      </c>
      <c r="P67" s="342">
        <f t="shared" si="28"/>
        <v>10973.846640948901</v>
      </c>
      <c r="Q67" s="504"/>
      <c r="R67" s="420"/>
    </row>
    <row r="68" spans="3:18">
      <c r="C68" s="383"/>
      <c r="D68" s="371"/>
      <c r="E68" s="346" t="s">
        <v>229</v>
      </c>
      <c r="F68" s="28" t="s">
        <v>475</v>
      </c>
      <c r="G68" s="415"/>
      <c r="H68" s="415"/>
      <c r="I68" s="415"/>
      <c r="J68" s="415"/>
      <c r="K68" s="415"/>
      <c r="L68" s="415"/>
      <c r="M68" s="415"/>
      <c r="N68" s="415"/>
      <c r="O68" s="415"/>
      <c r="P68" s="415"/>
      <c r="Q68" s="504"/>
      <c r="R68" s="420"/>
    </row>
    <row r="69" spans="3:18">
      <c r="C69" s="383"/>
      <c r="D69" s="377"/>
      <c r="E69" s="346" t="s">
        <v>146</v>
      </c>
      <c r="F69" s="28" t="s">
        <v>207</v>
      </c>
      <c r="G69" s="424">
        <f t="shared" ref="G69:P69" si="29">IF(G68="",G67,G68)*G66</f>
        <v>0</v>
      </c>
      <c r="H69" s="424">
        <f t="shared" si="29"/>
        <v>0</v>
      </c>
      <c r="I69" s="424">
        <f t="shared" si="29"/>
        <v>0</v>
      </c>
      <c r="J69" s="424">
        <f t="shared" si="29"/>
        <v>0</v>
      </c>
      <c r="K69" s="424">
        <f t="shared" si="29"/>
        <v>0</v>
      </c>
      <c r="L69" s="424">
        <f t="shared" si="29"/>
        <v>0</v>
      </c>
      <c r="M69" s="424">
        <f t="shared" si="29"/>
        <v>0</v>
      </c>
      <c r="N69" s="424">
        <f t="shared" si="29"/>
        <v>0</v>
      </c>
      <c r="O69" s="424">
        <f t="shared" si="29"/>
        <v>0</v>
      </c>
      <c r="P69" s="424">
        <f t="shared" si="29"/>
        <v>0</v>
      </c>
      <c r="Q69" s="504"/>
      <c r="R69" s="420"/>
    </row>
    <row r="70" spans="3:18" ht="22.5">
      <c r="C70" s="383"/>
      <c r="D70" s="485" t="str">
        <f>'Cost Schedule'!$C$1028</f>
        <v>Horizontal, Steel, Buried, Single skin, &gt;5kL and &lt;= 20kL</v>
      </c>
      <c r="E70" s="346" t="s">
        <v>503</v>
      </c>
      <c r="F70" s="28" t="s">
        <v>199</v>
      </c>
      <c r="G70" s="455"/>
      <c r="H70" s="455"/>
      <c r="I70" s="455"/>
      <c r="J70" s="455"/>
      <c r="K70" s="455"/>
      <c r="L70" s="455"/>
      <c r="M70" s="455"/>
      <c r="N70" s="455"/>
      <c r="O70" s="455"/>
      <c r="P70" s="455"/>
      <c r="Q70" s="504"/>
      <c r="R70" s="420"/>
    </row>
    <row r="71" spans="3:18">
      <c r="C71" s="383"/>
      <c r="D71" s="371"/>
      <c r="E71" s="346" t="s">
        <v>227</v>
      </c>
      <c r="F71" s="28" t="s">
        <v>475</v>
      </c>
      <c r="G71" s="342">
        <f t="shared" ref="G71:P71" si="30">_xlfn.XLOOKUP($D70,Tanks_vessels_names_CS,Tanks_vessels_rates_CS)</f>
        <v>15313.803593961336</v>
      </c>
      <c r="H71" s="342">
        <f t="shared" si="30"/>
        <v>15313.803593961336</v>
      </c>
      <c r="I71" s="342">
        <f t="shared" si="30"/>
        <v>15313.803593961336</v>
      </c>
      <c r="J71" s="342">
        <f t="shared" si="30"/>
        <v>15313.803593961336</v>
      </c>
      <c r="K71" s="342">
        <f t="shared" si="30"/>
        <v>15313.803593961336</v>
      </c>
      <c r="L71" s="342">
        <f t="shared" si="30"/>
        <v>15313.803593961336</v>
      </c>
      <c r="M71" s="342">
        <f t="shared" si="30"/>
        <v>15313.803593961336</v>
      </c>
      <c r="N71" s="342">
        <f t="shared" si="30"/>
        <v>15313.803593961336</v>
      </c>
      <c r="O71" s="342">
        <f t="shared" si="30"/>
        <v>15313.803593961336</v>
      </c>
      <c r="P71" s="342">
        <f t="shared" si="30"/>
        <v>15313.803593961336</v>
      </c>
      <c r="Q71" s="504"/>
      <c r="R71" s="420"/>
    </row>
    <row r="72" spans="3:18">
      <c r="C72" s="383"/>
      <c r="D72" s="371"/>
      <c r="E72" s="346" t="s">
        <v>229</v>
      </c>
      <c r="F72" s="28" t="s">
        <v>475</v>
      </c>
      <c r="G72" s="415"/>
      <c r="H72" s="415"/>
      <c r="I72" s="415"/>
      <c r="J72" s="415"/>
      <c r="K72" s="415"/>
      <c r="L72" s="415"/>
      <c r="M72" s="415"/>
      <c r="N72" s="415"/>
      <c r="O72" s="415"/>
      <c r="P72" s="415"/>
      <c r="Q72" s="504"/>
      <c r="R72" s="420"/>
    </row>
    <row r="73" spans="3:18">
      <c r="C73" s="383"/>
      <c r="D73" s="377"/>
      <c r="E73" s="346" t="s">
        <v>146</v>
      </c>
      <c r="F73" s="28" t="s">
        <v>207</v>
      </c>
      <c r="G73" s="424">
        <f t="shared" ref="G73:P73" si="31">IF(G72="",G71,G72)*G70</f>
        <v>0</v>
      </c>
      <c r="H73" s="424">
        <f t="shared" si="31"/>
        <v>0</v>
      </c>
      <c r="I73" s="424">
        <f t="shared" si="31"/>
        <v>0</v>
      </c>
      <c r="J73" s="424">
        <f t="shared" si="31"/>
        <v>0</v>
      </c>
      <c r="K73" s="424">
        <f t="shared" si="31"/>
        <v>0</v>
      </c>
      <c r="L73" s="424">
        <f t="shared" si="31"/>
        <v>0</v>
      </c>
      <c r="M73" s="424">
        <f t="shared" si="31"/>
        <v>0</v>
      </c>
      <c r="N73" s="424">
        <f t="shared" si="31"/>
        <v>0</v>
      </c>
      <c r="O73" s="424">
        <f t="shared" si="31"/>
        <v>0</v>
      </c>
      <c r="P73" s="424">
        <f t="shared" si="31"/>
        <v>0</v>
      </c>
      <c r="Q73" s="504"/>
      <c r="R73" s="420"/>
    </row>
    <row r="74" spans="3:18" ht="22.5">
      <c r="C74" s="383"/>
      <c r="D74" s="485" t="str">
        <f>'Cost Schedule'!$C$1029</f>
        <v>Horizontal, Steel, Buried, Single skin, &gt;20kL and &lt;= 50kL</v>
      </c>
      <c r="E74" s="346" t="s">
        <v>503</v>
      </c>
      <c r="F74" s="28" t="s">
        <v>199</v>
      </c>
      <c r="G74" s="455"/>
      <c r="H74" s="455"/>
      <c r="I74" s="455"/>
      <c r="J74" s="455"/>
      <c r="K74" s="455"/>
      <c r="L74" s="455"/>
      <c r="M74" s="455"/>
      <c r="N74" s="455"/>
      <c r="O74" s="455"/>
      <c r="P74" s="455"/>
      <c r="Q74" s="504"/>
      <c r="R74" s="420"/>
    </row>
    <row r="75" spans="3:18">
      <c r="C75" s="383"/>
      <c r="D75" s="371"/>
      <c r="E75" s="346" t="s">
        <v>227</v>
      </c>
      <c r="F75" s="28" t="s">
        <v>475</v>
      </c>
      <c r="G75" s="342">
        <f t="shared" ref="G75:P75" si="32">_xlfn.XLOOKUP($D74,Tanks_vessels_names_CS,Tanks_vessels_rates_CS)</f>
        <v>19643.334665387938</v>
      </c>
      <c r="H75" s="342">
        <f t="shared" si="32"/>
        <v>19643.334665387938</v>
      </c>
      <c r="I75" s="342">
        <f t="shared" si="32"/>
        <v>19643.334665387938</v>
      </c>
      <c r="J75" s="342">
        <f t="shared" si="32"/>
        <v>19643.334665387938</v>
      </c>
      <c r="K75" s="342">
        <f t="shared" si="32"/>
        <v>19643.334665387938</v>
      </c>
      <c r="L75" s="342">
        <f t="shared" si="32"/>
        <v>19643.334665387938</v>
      </c>
      <c r="M75" s="342">
        <f t="shared" si="32"/>
        <v>19643.334665387938</v>
      </c>
      <c r="N75" s="342">
        <f t="shared" si="32"/>
        <v>19643.334665387938</v>
      </c>
      <c r="O75" s="342">
        <f t="shared" si="32"/>
        <v>19643.334665387938</v>
      </c>
      <c r="P75" s="342">
        <f t="shared" si="32"/>
        <v>19643.334665387938</v>
      </c>
      <c r="Q75" s="504"/>
      <c r="R75" s="420"/>
    </row>
    <row r="76" spans="3:18">
      <c r="C76" s="383"/>
      <c r="D76" s="371"/>
      <c r="E76" s="346" t="s">
        <v>229</v>
      </c>
      <c r="F76" s="28" t="s">
        <v>475</v>
      </c>
      <c r="G76" s="415"/>
      <c r="H76" s="415"/>
      <c r="I76" s="415"/>
      <c r="J76" s="415"/>
      <c r="K76" s="415"/>
      <c r="L76" s="415"/>
      <c r="M76" s="415"/>
      <c r="N76" s="415"/>
      <c r="O76" s="415"/>
      <c r="P76" s="415"/>
      <c r="Q76" s="504"/>
      <c r="R76" s="420"/>
    </row>
    <row r="77" spans="3:18">
      <c r="C77" s="386"/>
      <c r="D77" s="377"/>
      <c r="E77" s="346" t="s">
        <v>146</v>
      </c>
      <c r="F77" s="28" t="s">
        <v>207</v>
      </c>
      <c r="G77" s="424">
        <f t="shared" ref="G77:P77" si="33">IF(G76="",G75,G76)*G74</f>
        <v>0</v>
      </c>
      <c r="H77" s="424">
        <f t="shared" si="33"/>
        <v>0</v>
      </c>
      <c r="I77" s="424">
        <f t="shared" si="33"/>
        <v>0</v>
      </c>
      <c r="J77" s="424">
        <f t="shared" si="33"/>
        <v>0</v>
      </c>
      <c r="K77" s="424">
        <f t="shared" si="33"/>
        <v>0</v>
      </c>
      <c r="L77" s="424">
        <f t="shared" si="33"/>
        <v>0</v>
      </c>
      <c r="M77" s="424">
        <f t="shared" si="33"/>
        <v>0</v>
      </c>
      <c r="N77" s="424">
        <f t="shared" si="33"/>
        <v>0</v>
      </c>
      <c r="O77" s="424">
        <f t="shared" si="33"/>
        <v>0</v>
      </c>
      <c r="P77" s="424">
        <f t="shared" si="33"/>
        <v>0</v>
      </c>
      <c r="Q77" s="504"/>
      <c r="R77" s="420"/>
    </row>
    <row r="78" spans="3:18" ht="12" collapsed="1" thickBot="1">
      <c r="C78" s="372"/>
      <c r="D78" s="373"/>
      <c r="E78" s="374" t="str">
        <f>C17</f>
        <v>Decommission, demolish, remove tanks and vessels</v>
      </c>
      <c r="F78" s="72"/>
      <c r="G78" s="365">
        <f t="shared" ref="G78:P78" si="34">G21+G25+G29+G33+G37+G41+G45+G49+G53+G57+G61+G65+G69+G73+G77</f>
        <v>0</v>
      </c>
      <c r="H78" s="365">
        <f t="shared" si="34"/>
        <v>0</v>
      </c>
      <c r="I78" s="365">
        <f t="shared" si="34"/>
        <v>0</v>
      </c>
      <c r="J78" s="365">
        <f t="shared" si="34"/>
        <v>0</v>
      </c>
      <c r="K78" s="365">
        <f t="shared" si="34"/>
        <v>0</v>
      </c>
      <c r="L78" s="365">
        <f t="shared" si="34"/>
        <v>0</v>
      </c>
      <c r="M78" s="365">
        <f t="shared" si="34"/>
        <v>0</v>
      </c>
      <c r="N78" s="365">
        <f t="shared" si="34"/>
        <v>0</v>
      </c>
      <c r="O78" s="365">
        <f t="shared" si="34"/>
        <v>0</v>
      </c>
      <c r="P78" s="365">
        <f t="shared" si="34"/>
        <v>0</v>
      </c>
      <c r="Q78" s="504"/>
      <c r="R78" s="420"/>
    </row>
    <row r="79" spans="3:18" ht="23.25" thickTop="1">
      <c r="C79" s="487" t="s">
        <v>714</v>
      </c>
      <c r="D79" s="351" t="s">
        <v>715</v>
      </c>
      <c r="E79" s="346" t="s">
        <v>311</v>
      </c>
      <c r="F79" s="28" t="s">
        <v>123</v>
      </c>
      <c r="G79" s="456" t="s">
        <v>716</v>
      </c>
      <c r="H79" s="456" t="s">
        <v>717</v>
      </c>
      <c r="I79" s="456" t="s">
        <v>716</v>
      </c>
      <c r="J79" s="456" t="s">
        <v>716</v>
      </c>
      <c r="K79" s="456" t="s">
        <v>716</v>
      </c>
      <c r="L79" s="456" t="s">
        <v>716</v>
      </c>
      <c r="M79" s="456" t="s">
        <v>716</v>
      </c>
      <c r="N79" s="456" t="s">
        <v>716</v>
      </c>
      <c r="O79" s="456" t="s">
        <v>716</v>
      </c>
      <c r="P79" s="456" t="s">
        <v>716</v>
      </c>
      <c r="Q79" s="504"/>
      <c r="R79" s="427"/>
    </row>
    <row r="80" spans="3:18">
      <c r="C80" s="488"/>
      <c r="D80" s="353"/>
      <c r="E80" s="346" t="s">
        <v>503</v>
      </c>
      <c r="F80" s="28" t="s">
        <v>199</v>
      </c>
      <c r="G80" s="463"/>
      <c r="H80" s="463"/>
      <c r="I80" s="463"/>
      <c r="J80" s="463"/>
      <c r="K80" s="463"/>
      <c r="L80" s="463"/>
      <c r="M80" s="463"/>
      <c r="N80" s="463"/>
      <c r="O80" s="463"/>
      <c r="P80" s="463"/>
      <c r="Q80" s="504"/>
      <c r="R80" s="427"/>
    </row>
    <row r="81" spans="3:18">
      <c r="C81" s="488"/>
      <c r="D81" s="353"/>
      <c r="E81" s="336" t="s">
        <v>227</v>
      </c>
      <c r="F81" s="28" t="s">
        <v>278</v>
      </c>
      <c r="G81" s="438">
        <f t="shared" ref="G81:P81" si="35">_xlfn.XLOOKUP(G79,Loading_names_CS,Loading_rates_CS)</f>
        <v>834772.625</v>
      </c>
      <c r="H81" s="438">
        <f t="shared" si="35"/>
        <v>2185454</v>
      </c>
      <c r="I81" s="438">
        <f t="shared" si="35"/>
        <v>834772.625</v>
      </c>
      <c r="J81" s="438">
        <f t="shared" si="35"/>
        <v>834772.625</v>
      </c>
      <c r="K81" s="438">
        <f t="shared" si="35"/>
        <v>834772.625</v>
      </c>
      <c r="L81" s="438">
        <f t="shared" si="35"/>
        <v>834772.625</v>
      </c>
      <c r="M81" s="438">
        <f t="shared" si="35"/>
        <v>834772.625</v>
      </c>
      <c r="N81" s="438">
        <f t="shared" si="35"/>
        <v>834772.625</v>
      </c>
      <c r="O81" s="438">
        <f t="shared" si="35"/>
        <v>834772.625</v>
      </c>
      <c r="P81" s="438">
        <f t="shared" si="35"/>
        <v>834772.625</v>
      </c>
      <c r="Q81" s="504"/>
      <c r="R81" s="427"/>
    </row>
    <row r="82" spans="3:18">
      <c r="C82" s="488"/>
      <c r="D82" s="353"/>
      <c r="E82" s="336" t="s">
        <v>229</v>
      </c>
      <c r="F82" s="28" t="s">
        <v>207</v>
      </c>
      <c r="G82" s="414"/>
      <c r="H82" s="414"/>
      <c r="I82" s="414"/>
      <c r="J82" s="414"/>
      <c r="K82" s="414"/>
      <c r="L82" s="414"/>
      <c r="M82" s="414"/>
      <c r="N82" s="414"/>
      <c r="O82" s="414"/>
      <c r="P82" s="414"/>
      <c r="Q82" s="504"/>
      <c r="R82" s="427"/>
    </row>
    <row r="83" spans="3:18">
      <c r="C83" s="488"/>
      <c r="D83" s="355"/>
      <c r="E83" s="335" t="s">
        <v>146</v>
      </c>
      <c r="F83" s="28" t="s">
        <v>207</v>
      </c>
      <c r="G83" s="424">
        <f t="shared" ref="G83:P83" si="36">G80*IF(G82="",G81,G82)</f>
        <v>0</v>
      </c>
      <c r="H83" s="424">
        <f t="shared" si="36"/>
        <v>0</v>
      </c>
      <c r="I83" s="424">
        <f t="shared" si="36"/>
        <v>0</v>
      </c>
      <c r="J83" s="424">
        <f t="shared" si="36"/>
        <v>0</v>
      </c>
      <c r="K83" s="424">
        <f t="shared" si="36"/>
        <v>0</v>
      </c>
      <c r="L83" s="424">
        <f t="shared" si="36"/>
        <v>0</v>
      </c>
      <c r="M83" s="424">
        <f t="shared" si="36"/>
        <v>0</v>
      </c>
      <c r="N83" s="424">
        <f t="shared" si="36"/>
        <v>0</v>
      </c>
      <c r="O83" s="424">
        <f t="shared" si="36"/>
        <v>0</v>
      </c>
      <c r="P83" s="424">
        <f t="shared" si="36"/>
        <v>0</v>
      </c>
      <c r="Q83" s="504"/>
      <c r="R83" s="427"/>
    </row>
    <row r="84" spans="3:18">
      <c r="C84" s="488"/>
      <c r="D84" s="351" t="s">
        <v>718</v>
      </c>
      <c r="E84" s="346" t="s">
        <v>442</v>
      </c>
      <c r="F84" s="28" t="s">
        <v>211</v>
      </c>
      <c r="G84" s="463"/>
      <c r="H84" s="463"/>
      <c r="I84" s="463"/>
      <c r="J84" s="463"/>
      <c r="K84" s="463"/>
      <c r="L84" s="463"/>
      <c r="M84" s="463"/>
      <c r="N84" s="463"/>
      <c r="O84" s="463"/>
      <c r="P84" s="463"/>
      <c r="Q84" s="504"/>
      <c r="R84" s="427"/>
    </row>
    <row r="85" spans="3:18">
      <c r="C85" s="488"/>
      <c r="D85" s="353"/>
      <c r="E85" s="336" t="s">
        <v>227</v>
      </c>
      <c r="F85" s="28" t="s">
        <v>278</v>
      </c>
      <c r="G85" s="342">
        <f>'Cost Schedule'!$D$978</f>
        <v>72.619315080162522</v>
      </c>
      <c r="H85" s="342">
        <f>'Cost Schedule'!$D$978</f>
        <v>72.619315080162522</v>
      </c>
      <c r="I85" s="342">
        <f>'Cost Schedule'!$D$978</f>
        <v>72.619315080162522</v>
      </c>
      <c r="J85" s="342">
        <f>'Cost Schedule'!$D$978</f>
        <v>72.619315080162522</v>
      </c>
      <c r="K85" s="342">
        <f>'Cost Schedule'!$D$978</f>
        <v>72.619315080162522</v>
      </c>
      <c r="L85" s="342">
        <f>'Cost Schedule'!$D$978</f>
        <v>72.619315080162522</v>
      </c>
      <c r="M85" s="342">
        <f>'Cost Schedule'!$D$978</f>
        <v>72.619315080162522</v>
      </c>
      <c r="N85" s="342">
        <f>'Cost Schedule'!$D$978</f>
        <v>72.619315080162522</v>
      </c>
      <c r="O85" s="342">
        <f>'Cost Schedule'!$D$978</f>
        <v>72.619315080162522</v>
      </c>
      <c r="P85" s="342">
        <f>'Cost Schedule'!$D$978</f>
        <v>72.619315080162522</v>
      </c>
      <c r="Q85" s="504"/>
      <c r="R85" s="427"/>
    </row>
    <row r="86" spans="3:18">
      <c r="C86" s="488"/>
      <c r="D86" s="353"/>
      <c r="E86" s="336" t="s">
        <v>229</v>
      </c>
      <c r="F86" s="28" t="s">
        <v>207</v>
      </c>
      <c r="G86" s="414"/>
      <c r="H86" s="414"/>
      <c r="I86" s="414"/>
      <c r="J86" s="414"/>
      <c r="K86" s="414"/>
      <c r="L86" s="414"/>
      <c r="M86" s="414"/>
      <c r="N86" s="414"/>
      <c r="O86" s="414"/>
      <c r="P86" s="414"/>
      <c r="Q86" s="504"/>
      <c r="R86" s="427"/>
    </row>
    <row r="87" spans="3:18">
      <c r="C87" s="488"/>
      <c r="D87" s="355"/>
      <c r="E87" s="335" t="s">
        <v>146</v>
      </c>
      <c r="F87" s="28" t="s">
        <v>207</v>
      </c>
      <c r="G87" s="424">
        <f t="shared" ref="G87:P87" si="37">G84*IF(G86="",G85,G86)</f>
        <v>0</v>
      </c>
      <c r="H87" s="424">
        <f t="shared" si="37"/>
        <v>0</v>
      </c>
      <c r="I87" s="424">
        <f t="shared" si="37"/>
        <v>0</v>
      </c>
      <c r="J87" s="424">
        <f t="shared" si="37"/>
        <v>0</v>
      </c>
      <c r="K87" s="424">
        <f t="shared" si="37"/>
        <v>0</v>
      </c>
      <c r="L87" s="424">
        <f t="shared" si="37"/>
        <v>0</v>
      </c>
      <c r="M87" s="424">
        <f t="shared" si="37"/>
        <v>0</v>
      </c>
      <c r="N87" s="424">
        <f t="shared" si="37"/>
        <v>0</v>
      </c>
      <c r="O87" s="424">
        <f t="shared" si="37"/>
        <v>0</v>
      </c>
      <c r="P87" s="424">
        <f t="shared" si="37"/>
        <v>0</v>
      </c>
      <c r="Q87" s="504"/>
      <c r="R87" s="427"/>
    </row>
    <row r="88" spans="3:18" ht="22.5">
      <c r="C88" s="488"/>
      <c r="D88" s="351" t="s">
        <v>719</v>
      </c>
      <c r="E88" s="346" t="s">
        <v>311</v>
      </c>
      <c r="G88" s="456" t="s">
        <v>720</v>
      </c>
      <c r="H88" s="456" t="s">
        <v>721</v>
      </c>
      <c r="I88" s="456" t="s">
        <v>722</v>
      </c>
      <c r="J88" s="456" t="s">
        <v>723</v>
      </c>
      <c r="K88" s="456" t="s">
        <v>722</v>
      </c>
      <c r="L88" s="456" t="s">
        <v>720</v>
      </c>
      <c r="M88" s="456" t="s">
        <v>720</v>
      </c>
      <c r="N88" s="456" t="s">
        <v>720</v>
      </c>
      <c r="O88" s="456" t="s">
        <v>720</v>
      </c>
      <c r="P88" s="456" t="s">
        <v>720</v>
      </c>
      <c r="Q88" s="504"/>
      <c r="R88" s="427"/>
    </row>
    <row r="89" spans="3:18">
      <c r="C89" s="488"/>
      <c r="D89" s="353"/>
      <c r="E89" s="346" t="s">
        <v>442</v>
      </c>
      <c r="F89" s="28" t="s">
        <v>211</v>
      </c>
      <c r="G89" s="463">
        <v>720</v>
      </c>
      <c r="H89" s="463">
        <v>2200</v>
      </c>
      <c r="I89" s="463">
        <v>140</v>
      </c>
      <c r="J89" s="463"/>
      <c r="K89" s="463"/>
      <c r="L89" s="463"/>
      <c r="M89" s="463"/>
      <c r="N89" s="463"/>
      <c r="O89" s="463"/>
      <c r="P89" s="463"/>
      <c r="Q89" s="504"/>
      <c r="R89" s="427"/>
    </row>
    <row r="90" spans="3:18">
      <c r="C90" s="488"/>
      <c r="D90" s="353"/>
      <c r="E90" s="336" t="s">
        <v>227</v>
      </c>
      <c r="F90" s="28" t="s">
        <v>293</v>
      </c>
      <c r="G90" s="342">
        <f t="shared" ref="G90:P90" si="38">_xlfn.XLOOKUP(G88,Conveyors_tunnels_names_CS,Conveyors_tunnels_rates_CS)</f>
        <v>291.88002303185453</v>
      </c>
      <c r="H90" s="342">
        <f t="shared" si="38"/>
        <v>449.39671088485608</v>
      </c>
      <c r="I90" s="342">
        <f t="shared" si="38"/>
        <v>1097.1538032747596</v>
      </c>
      <c r="J90" s="342">
        <f t="shared" si="38"/>
        <v>322.58935106860423</v>
      </c>
      <c r="K90" s="342">
        <f t="shared" si="38"/>
        <v>1097.1538032747596</v>
      </c>
      <c r="L90" s="342">
        <f t="shared" si="38"/>
        <v>291.88002303185453</v>
      </c>
      <c r="M90" s="342">
        <f t="shared" si="38"/>
        <v>291.88002303185453</v>
      </c>
      <c r="N90" s="342">
        <f t="shared" si="38"/>
        <v>291.88002303185453</v>
      </c>
      <c r="O90" s="342">
        <f t="shared" si="38"/>
        <v>291.88002303185453</v>
      </c>
      <c r="P90" s="342">
        <f t="shared" si="38"/>
        <v>291.88002303185453</v>
      </c>
      <c r="Q90" s="504"/>
      <c r="R90" s="427"/>
    </row>
    <row r="91" spans="3:18">
      <c r="C91" s="488"/>
      <c r="D91" s="353"/>
      <c r="E91" s="336" t="s">
        <v>229</v>
      </c>
      <c r="F91" s="28" t="s">
        <v>207</v>
      </c>
      <c r="G91" s="414"/>
      <c r="H91" s="414"/>
      <c r="I91" s="414"/>
      <c r="J91" s="414"/>
      <c r="K91" s="414"/>
      <c r="L91" s="414"/>
      <c r="M91" s="414"/>
      <c r="N91" s="414"/>
      <c r="O91" s="414"/>
      <c r="P91" s="414"/>
      <c r="Q91" s="504"/>
      <c r="R91" s="427"/>
    </row>
    <row r="92" spans="3:18">
      <c r="C92" s="488"/>
      <c r="D92" s="355"/>
      <c r="E92" s="335" t="s">
        <v>146</v>
      </c>
      <c r="F92" s="28" t="s">
        <v>207</v>
      </c>
      <c r="G92" s="424">
        <f t="shared" ref="G92" si="39">G89*IF(G91="",G90,G91)</f>
        <v>210153.61658293527</v>
      </c>
      <c r="H92" s="424">
        <f t="shared" ref="H92:P92" si="40">H89*IF(H91="",H90,H91)</f>
        <v>988672.76394668338</v>
      </c>
      <c r="I92" s="424">
        <f t="shared" si="40"/>
        <v>153601.53245846636</v>
      </c>
      <c r="J92" s="424">
        <f t="shared" si="40"/>
        <v>0</v>
      </c>
      <c r="K92" s="424">
        <f t="shared" si="40"/>
        <v>0</v>
      </c>
      <c r="L92" s="424">
        <f t="shared" si="40"/>
        <v>0</v>
      </c>
      <c r="M92" s="424">
        <f t="shared" si="40"/>
        <v>0</v>
      </c>
      <c r="N92" s="424">
        <f t="shared" si="40"/>
        <v>0</v>
      </c>
      <c r="O92" s="424">
        <f t="shared" si="40"/>
        <v>0</v>
      </c>
      <c r="P92" s="424">
        <f t="shared" si="40"/>
        <v>0</v>
      </c>
      <c r="Q92" s="504"/>
      <c r="R92" s="427"/>
    </row>
    <row r="93" spans="3:18" ht="67.5" customHeight="1">
      <c r="C93" s="488"/>
      <c r="D93" s="351" t="s">
        <v>724</v>
      </c>
      <c r="E93" s="346" t="s">
        <v>311</v>
      </c>
      <c r="F93" s="28" t="s">
        <v>123</v>
      </c>
      <c r="G93" s="456" t="str">
        <f>'Cost Schedule'!$C$104</f>
        <v>Vent raise fans, electrical substation and winch (undergound mines)</v>
      </c>
      <c r="H93" s="456" t="str">
        <f>'Cost Schedule'!$C$104</f>
        <v>Vent raise fans, electrical substation and winch (undergound mines)</v>
      </c>
      <c r="I93" s="456" t="str">
        <f>'Cost Schedule'!$C$104</f>
        <v>Vent raise fans, electrical substation and winch (undergound mines)</v>
      </c>
      <c r="J93" s="456" t="str">
        <f>'Cost Schedule'!$C$104</f>
        <v>Vent raise fans, electrical substation and winch (undergound mines)</v>
      </c>
      <c r="K93" s="456" t="str">
        <f>'Cost Schedule'!$C$104</f>
        <v>Vent raise fans, electrical substation and winch (undergound mines)</v>
      </c>
      <c r="L93" s="456" t="str">
        <f>'Cost Schedule'!$C$104</f>
        <v>Vent raise fans, electrical substation and winch (undergound mines)</v>
      </c>
      <c r="M93" s="456" t="str">
        <f>'Cost Schedule'!$C$104</f>
        <v>Vent raise fans, electrical substation and winch (undergound mines)</v>
      </c>
      <c r="N93" s="456" t="str">
        <f>'Cost Schedule'!$C$104</f>
        <v>Vent raise fans, electrical substation and winch (undergound mines)</v>
      </c>
      <c r="O93" s="456" t="str">
        <f>'Cost Schedule'!$C$104</f>
        <v>Vent raise fans, electrical substation and winch (undergound mines)</v>
      </c>
      <c r="P93" s="456" t="str">
        <f>'Cost Schedule'!$C$104</f>
        <v>Vent raise fans, electrical substation and winch (undergound mines)</v>
      </c>
      <c r="Q93" s="504"/>
      <c r="R93" s="427"/>
    </row>
    <row r="94" spans="3:18">
      <c r="C94" s="488"/>
      <c r="D94" s="353"/>
      <c r="E94" s="346" t="s">
        <v>442</v>
      </c>
      <c r="F94" s="28" t="s">
        <v>199</v>
      </c>
      <c r="G94" s="463"/>
      <c r="H94" s="463"/>
      <c r="I94" s="463"/>
      <c r="J94" s="463"/>
      <c r="K94" s="463"/>
      <c r="L94" s="463"/>
      <c r="M94" s="463"/>
      <c r="N94" s="463"/>
      <c r="O94" s="463"/>
      <c r="P94" s="463"/>
      <c r="Q94" s="504"/>
      <c r="R94" s="427"/>
    </row>
    <row r="95" spans="3:18">
      <c r="C95" s="488"/>
      <c r="D95" s="353"/>
      <c r="E95" s="336" t="s">
        <v>227</v>
      </c>
      <c r="F95" s="28" t="s">
        <v>278</v>
      </c>
      <c r="G95" s="342">
        <f>'Cost Schedule'!$D$104</f>
        <v>28135.016470396458</v>
      </c>
      <c r="H95" s="342">
        <f>'Cost Schedule'!$D$104</f>
        <v>28135.016470396458</v>
      </c>
      <c r="I95" s="342">
        <f>'Cost Schedule'!$D$104</f>
        <v>28135.016470396458</v>
      </c>
      <c r="J95" s="342">
        <f>'Cost Schedule'!$D$104</f>
        <v>28135.016470396458</v>
      </c>
      <c r="K95" s="342">
        <f>'Cost Schedule'!$D$104</f>
        <v>28135.016470396458</v>
      </c>
      <c r="L95" s="342">
        <f>'Cost Schedule'!$D$104</f>
        <v>28135.016470396458</v>
      </c>
      <c r="M95" s="342">
        <f>'Cost Schedule'!$D$104</f>
        <v>28135.016470396458</v>
      </c>
      <c r="N95" s="342">
        <f>'Cost Schedule'!$D$104</f>
        <v>28135.016470396458</v>
      </c>
      <c r="O95" s="342">
        <f>'Cost Schedule'!$D$104</f>
        <v>28135.016470396458</v>
      </c>
      <c r="P95" s="342">
        <f>'Cost Schedule'!$D$104</f>
        <v>28135.016470396458</v>
      </c>
      <c r="Q95" s="504"/>
      <c r="R95" s="427"/>
    </row>
    <row r="96" spans="3:18">
      <c r="C96" s="488"/>
      <c r="D96" s="353"/>
      <c r="E96" s="336" t="s">
        <v>229</v>
      </c>
      <c r="F96" s="28" t="s">
        <v>207</v>
      </c>
      <c r="G96" s="414"/>
      <c r="H96" s="414"/>
      <c r="I96" s="414"/>
      <c r="J96" s="414"/>
      <c r="K96" s="414"/>
      <c r="L96" s="414"/>
      <c r="M96" s="414"/>
      <c r="N96" s="414"/>
      <c r="O96" s="414"/>
      <c r="P96" s="414"/>
      <c r="Q96" s="504"/>
      <c r="R96" s="427"/>
    </row>
    <row r="97" spans="3:18">
      <c r="C97" s="489"/>
      <c r="D97" s="355"/>
      <c r="E97" s="335" t="s">
        <v>146</v>
      </c>
      <c r="F97" s="28" t="s">
        <v>207</v>
      </c>
      <c r="G97" s="424">
        <f t="shared" ref="G97:P97" si="41">G94*IF(G96="",G95,G96)</f>
        <v>0</v>
      </c>
      <c r="H97" s="424">
        <f t="shared" si="41"/>
        <v>0</v>
      </c>
      <c r="I97" s="424">
        <f t="shared" si="41"/>
        <v>0</v>
      </c>
      <c r="J97" s="424">
        <f t="shared" si="41"/>
        <v>0</v>
      </c>
      <c r="K97" s="424">
        <f t="shared" si="41"/>
        <v>0</v>
      </c>
      <c r="L97" s="424">
        <f t="shared" si="41"/>
        <v>0</v>
      </c>
      <c r="M97" s="424">
        <f t="shared" si="41"/>
        <v>0</v>
      </c>
      <c r="N97" s="424">
        <f t="shared" si="41"/>
        <v>0</v>
      </c>
      <c r="O97" s="424">
        <f t="shared" si="41"/>
        <v>0</v>
      </c>
      <c r="P97" s="424">
        <f t="shared" si="41"/>
        <v>0</v>
      </c>
      <c r="Q97" s="504"/>
      <c r="R97" s="427"/>
    </row>
    <row r="98" spans="3:18">
      <c r="C98" s="391"/>
      <c r="D98" s="373"/>
      <c r="E98" s="374" t="str">
        <f>C79</f>
        <v>Decommission, demolish, remove transfer and loading equipment</v>
      </c>
      <c r="F98" s="62" t="s">
        <v>413</v>
      </c>
      <c r="G98" s="392">
        <f>G83+G87+G92+G97</f>
        <v>210153.61658293527</v>
      </c>
      <c r="H98" s="392">
        <f t="shared" ref="H98:P98" si="42">H83+H87+H92+H97</f>
        <v>988672.76394668338</v>
      </c>
      <c r="I98" s="392">
        <f t="shared" si="42"/>
        <v>153601.53245846636</v>
      </c>
      <c r="J98" s="392">
        <f t="shared" si="42"/>
        <v>0</v>
      </c>
      <c r="K98" s="392">
        <f t="shared" si="42"/>
        <v>0</v>
      </c>
      <c r="L98" s="392">
        <f t="shared" si="42"/>
        <v>0</v>
      </c>
      <c r="M98" s="392">
        <f t="shared" si="42"/>
        <v>0</v>
      </c>
      <c r="N98" s="392">
        <f t="shared" si="42"/>
        <v>0</v>
      </c>
      <c r="O98" s="392">
        <f t="shared" si="42"/>
        <v>0</v>
      </c>
      <c r="P98" s="392">
        <f t="shared" si="42"/>
        <v>0</v>
      </c>
      <c r="Q98" s="504"/>
      <c r="R98" s="420"/>
    </row>
    <row r="99" spans="3:18" ht="33.75">
      <c r="C99" s="434" t="s">
        <v>467</v>
      </c>
      <c r="D99" s="425"/>
      <c r="E99" s="335" t="s">
        <v>311</v>
      </c>
      <c r="F99" s="28" t="s">
        <v>123</v>
      </c>
      <c r="G99" s="505" t="s">
        <v>725</v>
      </c>
      <c r="H99" s="505" t="s">
        <v>726</v>
      </c>
      <c r="I99" s="505" t="s">
        <v>727</v>
      </c>
      <c r="J99" s="505" t="s">
        <v>728</v>
      </c>
      <c r="K99" s="505" t="s">
        <v>728</v>
      </c>
      <c r="L99" s="505" t="s">
        <v>728</v>
      </c>
      <c r="M99" s="505" t="s">
        <v>728</v>
      </c>
      <c r="N99" s="505" t="s">
        <v>728</v>
      </c>
      <c r="O99" s="505" t="s">
        <v>728</v>
      </c>
      <c r="P99" s="505" t="s">
        <v>728</v>
      </c>
      <c r="Q99" s="504"/>
      <c r="R99" s="427"/>
    </row>
    <row r="100" spans="3:18">
      <c r="C100" s="353"/>
      <c r="D100" s="426"/>
      <c r="E100" s="335" t="s">
        <v>434</v>
      </c>
      <c r="G100" s="422" t="str">
        <f t="shared" ref="G100:P100" si="43">_xlfn.XLOOKUP(G99,Buildings_beneficiation_names_CS,Buildings_beneficiation_units_CS)</f>
        <v>m2-floor</v>
      </c>
      <c r="H100" s="422" t="str">
        <f t="shared" si="43"/>
        <v>m2-floor</v>
      </c>
      <c r="I100" s="422" t="str">
        <f t="shared" si="43"/>
        <v>m2-floor</v>
      </c>
      <c r="J100" s="422" t="str">
        <f t="shared" si="43"/>
        <v>m2-floor</v>
      </c>
      <c r="K100" s="422" t="str">
        <f t="shared" si="43"/>
        <v>m2-floor</v>
      </c>
      <c r="L100" s="422" t="str">
        <f t="shared" si="43"/>
        <v>m2-floor</v>
      </c>
      <c r="M100" s="422" t="str">
        <f t="shared" si="43"/>
        <v>m2-floor</v>
      </c>
      <c r="N100" s="422" t="str">
        <f t="shared" si="43"/>
        <v>m2-floor</v>
      </c>
      <c r="O100" s="422" t="str">
        <f t="shared" si="43"/>
        <v>m2-floor</v>
      </c>
      <c r="P100" s="422" t="str">
        <f t="shared" si="43"/>
        <v>m2-floor</v>
      </c>
      <c r="Q100" s="504"/>
      <c r="R100" s="427"/>
    </row>
    <row r="101" spans="3:18">
      <c r="C101" s="353"/>
      <c r="D101" s="426"/>
      <c r="E101" s="346" t="s">
        <v>729</v>
      </c>
      <c r="G101" s="454">
        <v>1190</v>
      </c>
      <c r="H101" s="454">
        <v>2250</v>
      </c>
      <c r="I101" s="454">
        <v>6830</v>
      </c>
      <c r="J101" s="454">
        <v>840</v>
      </c>
      <c r="K101" s="454"/>
      <c r="L101" s="454"/>
      <c r="M101" s="454"/>
      <c r="N101" s="454"/>
      <c r="O101" s="454"/>
      <c r="P101" s="454"/>
      <c r="Q101" s="504"/>
      <c r="R101" s="427"/>
    </row>
    <row r="102" spans="3:18">
      <c r="C102" s="353"/>
      <c r="D102" s="426"/>
      <c r="E102" s="336" t="s">
        <v>445</v>
      </c>
      <c r="F102" s="28" t="s">
        <v>466</v>
      </c>
      <c r="G102" s="342">
        <f t="shared" ref="G102:P102" si="44">_xlfn.XLOOKUP(G99,Buildings_beneficiation_names_CS,Buildings_beneficiation_rates_CS)</f>
        <v>94.767705913055508</v>
      </c>
      <c r="H102" s="342">
        <f t="shared" si="44"/>
        <v>151.01003590520261</v>
      </c>
      <c r="I102" s="342">
        <f t="shared" si="44"/>
        <v>251.05327281475047</v>
      </c>
      <c r="J102" s="342">
        <f t="shared" si="44"/>
        <v>251.05327281475047</v>
      </c>
      <c r="K102" s="342">
        <f t="shared" si="44"/>
        <v>251.05327281475047</v>
      </c>
      <c r="L102" s="342">
        <f t="shared" si="44"/>
        <v>251.05327281475047</v>
      </c>
      <c r="M102" s="342">
        <f t="shared" si="44"/>
        <v>251.05327281475047</v>
      </c>
      <c r="N102" s="342">
        <f t="shared" si="44"/>
        <v>251.05327281475047</v>
      </c>
      <c r="O102" s="342">
        <f t="shared" si="44"/>
        <v>251.05327281475047</v>
      </c>
      <c r="P102" s="342">
        <f t="shared" si="44"/>
        <v>251.05327281475047</v>
      </c>
      <c r="Q102" s="504"/>
      <c r="R102" s="427"/>
    </row>
    <row r="103" spans="3:18">
      <c r="C103" s="353"/>
      <c r="D103" s="426"/>
      <c r="E103" s="336" t="s">
        <v>730</v>
      </c>
      <c r="F103" s="28" t="s">
        <v>466</v>
      </c>
      <c r="G103" s="414"/>
      <c r="H103" s="414"/>
      <c r="I103" s="414"/>
      <c r="J103" s="414"/>
      <c r="K103" s="414"/>
      <c r="L103" s="414"/>
      <c r="M103" s="414"/>
      <c r="N103" s="414"/>
      <c r="O103" s="414"/>
      <c r="P103" s="414"/>
      <c r="Q103" s="504"/>
      <c r="R103" s="427"/>
    </row>
    <row r="104" spans="3:18">
      <c r="C104" s="355"/>
      <c r="D104" s="423"/>
      <c r="E104" s="379" t="s">
        <v>146</v>
      </c>
      <c r="F104" s="28" t="s">
        <v>207</v>
      </c>
      <c r="G104" s="424">
        <f>G101*IF(G103="",G102,G103)</f>
        <v>112773.57003653605</v>
      </c>
      <c r="H104" s="424">
        <f t="shared" ref="H104:P104" si="45">H101*IF(H103="",H102,H103)</f>
        <v>339772.58078670589</v>
      </c>
      <c r="I104" s="424">
        <f t="shared" si="45"/>
        <v>1714693.8533247458</v>
      </c>
      <c r="J104" s="424">
        <f t="shared" si="45"/>
        <v>210884.74916439041</v>
      </c>
      <c r="K104" s="424">
        <f t="shared" si="45"/>
        <v>0</v>
      </c>
      <c r="L104" s="424">
        <f t="shared" si="45"/>
        <v>0</v>
      </c>
      <c r="M104" s="424">
        <f t="shared" si="45"/>
        <v>0</v>
      </c>
      <c r="N104" s="424">
        <f t="shared" si="45"/>
        <v>0</v>
      </c>
      <c r="O104" s="424">
        <f t="shared" si="45"/>
        <v>0</v>
      </c>
      <c r="P104" s="424">
        <f t="shared" si="45"/>
        <v>0</v>
      </c>
      <c r="Q104" s="504"/>
      <c r="R104" s="427"/>
    </row>
    <row r="105" spans="3:18">
      <c r="C105" s="391"/>
      <c r="D105" s="373"/>
      <c r="E105" s="374" t="str">
        <f>C99</f>
        <v>Demolish and remove buildings</v>
      </c>
      <c r="F105" s="62" t="s">
        <v>413</v>
      </c>
      <c r="G105" s="392">
        <f t="shared" ref="G105" si="46">G104</f>
        <v>112773.57003653605</v>
      </c>
      <c r="H105" s="392">
        <f t="shared" ref="H105" si="47">H104</f>
        <v>339772.58078670589</v>
      </c>
      <c r="I105" s="392">
        <f t="shared" ref="I105" si="48">I104</f>
        <v>1714693.8533247458</v>
      </c>
      <c r="J105" s="392">
        <f t="shared" ref="J105" si="49">J104</f>
        <v>210884.74916439041</v>
      </c>
      <c r="K105" s="392">
        <f t="shared" ref="K105" si="50">K104</f>
        <v>0</v>
      </c>
      <c r="L105" s="392">
        <f t="shared" ref="L105" si="51">L104</f>
        <v>0</v>
      </c>
      <c r="M105" s="392">
        <f t="shared" ref="M105" si="52">M104</f>
        <v>0</v>
      </c>
      <c r="N105" s="392">
        <f t="shared" ref="N105" si="53">N104</f>
        <v>0</v>
      </c>
      <c r="O105" s="392">
        <f t="shared" ref="O105" si="54">O104</f>
        <v>0</v>
      </c>
      <c r="P105" s="392">
        <f t="shared" ref="P105" si="55">P104</f>
        <v>0</v>
      </c>
      <c r="Q105" s="504"/>
      <c r="R105" s="420"/>
    </row>
    <row r="106" spans="3:18" ht="56.25">
      <c r="C106" s="434" t="s">
        <v>731</v>
      </c>
      <c r="D106" s="352"/>
      <c r="E106" s="335" t="s">
        <v>477</v>
      </c>
      <c r="F106" s="28" t="s">
        <v>123</v>
      </c>
      <c r="G106" s="456" t="s">
        <v>478</v>
      </c>
      <c r="H106" s="456" t="s">
        <v>484</v>
      </c>
      <c r="I106" s="456" t="s">
        <v>732</v>
      </c>
      <c r="J106" s="456" t="s">
        <v>478</v>
      </c>
      <c r="K106" s="456" t="s">
        <v>478</v>
      </c>
      <c r="L106" s="456" t="s">
        <v>733</v>
      </c>
      <c r="M106" s="456" t="s">
        <v>478</v>
      </c>
      <c r="N106" s="456" t="s">
        <v>478</v>
      </c>
      <c r="O106" s="456" t="s">
        <v>478</v>
      </c>
      <c r="P106" s="456" t="s">
        <v>478</v>
      </c>
      <c r="Q106" s="504"/>
      <c r="R106" s="427"/>
    </row>
    <row r="107" spans="3:18">
      <c r="C107" s="353"/>
      <c r="D107" s="354"/>
      <c r="E107" s="335" t="s">
        <v>485</v>
      </c>
      <c r="F107" s="28" t="s">
        <v>211</v>
      </c>
      <c r="G107" s="456"/>
      <c r="H107" s="456"/>
      <c r="I107" s="456"/>
      <c r="J107" s="456"/>
      <c r="K107" s="456"/>
      <c r="L107" s="456"/>
      <c r="M107" s="456"/>
      <c r="N107" s="456"/>
      <c r="O107" s="456"/>
      <c r="P107" s="456"/>
      <c r="Q107" s="504"/>
      <c r="R107" s="427"/>
    </row>
    <row r="108" spans="3:18">
      <c r="C108" s="353"/>
      <c r="D108" s="354"/>
      <c r="E108" s="335" t="s">
        <v>204</v>
      </c>
      <c r="F108" s="28" t="s">
        <v>293</v>
      </c>
      <c r="G108" s="342">
        <f t="shared" ref="G108:P108" si="56">_xlfn.XLOOKUP(G106,Pipelines_names_CS,Pipelines_rates_CS)</f>
        <v>11.26163640766136</v>
      </c>
      <c r="H108" s="342">
        <f t="shared" si="56"/>
        <v>37.747606151236781</v>
      </c>
      <c r="I108" s="342">
        <f t="shared" si="56"/>
        <v>39.203558238370142</v>
      </c>
      <c r="J108" s="342">
        <f t="shared" si="56"/>
        <v>11.26163640766136</v>
      </c>
      <c r="K108" s="342">
        <f t="shared" si="56"/>
        <v>11.26163640766136</v>
      </c>
      <c r="L108" s="342">
        <f t="shared" si="56"/>
        <v>11.633616620207082</v>
      </c>
      <c r="M108" s="342">
        <f t="shared" si="56"/>
        <v>11.26163640766136</v>
      </c>
      <c r="N108" s="342">
        <f t="shared" si="56"/>
        <v>11.26163640766136</v>
      </c>
      <c r="O108" s="342">
        <f t="shared" si="56"/>
        <v>11.26163640766136</v>
      </c>
      <c r="P108" s="342">
        <f t="shared" si="56"/>
        <v>11.26163640766136</v>
      </c>
      <c r="Q108" s="504"/>
      <c r="R108" s="427"/>
    </row>
    <row r="109" spans="3:18">
      <c r="C109" s="353"/>
      <c r="D109" s="354"/>
      <c r="E109" s="335" t="s">
        <v>206</v>
      </c>
      <c r="F109" s="28" t="s">
        <v>293</v>
      </c>
      <c r="G109" s="414"/>
      <c r="H109" s="414"/>
      <c r="I109" s="414"/>
      <c r="J109" s="414"/>
      <c r="K109" s="414"/>
      <c r="L109" s="414"/>
      <c r="M109" s="414"/>
      <c r="N109" s="414"/>
      <c r="O109" s="414"/>
      <c r="P109" s="414"/>
      <c r="Q109" s="504"/>
      <c r="R109" s="427"/>
    </row>
    <row r="110" spans="3:18">
      <c r="C110" s="355"/>
      <c r="D110" s="356"/>
      <c r="E110" s="335" t="s">
        <v>146</v>
      </c>
      <c r="F110" s="28" t="s">
        <v>207</v>
      </c>
      <c r="G110" s="424">
        <f t="shared" ref="G110:P110" si="57">G107*IF(G109="",G108,G109)</f>
        <v>0</v>
      </c>
      <c r="H110" s="424">
        <f t="shared" si="57"/>
        <v>0</v>
      </c>
      <c r="I110" s="424">
        <f t="shared" si="57"/>
        <v>0</v>
      </c>
      <c r="J110" s="424">
        <f t="shared" si="57"/>
        <v>0</v>
      </c>
      <c r="K110" s="424">
        <f t="shared" si="57"/>
        <v>0</v>
      </c>
      <c r="L110" s="424">
        <f t="shared" si="57"/>
        <v>0</v>
      </c>
      <c r="M110" s="424">
        <f t="shared" si="57"/>
        <v>0</v>
      </c>
      <c r="N110" s="424">
        <f t="shared" si="57"/>
        <v>0</v>
      </c>
      <c r="O110" s="424">
        <f t="shared" si="57"/>
        <v>0</v>
      </c>
      <c r="P110" s="424">
        <f t="shared" si="57"/>
        <v>0</v>
      </c>
      <c r="Q110" s="504"/>
      <c r="R110" s="427"/>
    </row>
    <row r="111" spans="3:18">
      <c r="C111" s="351" t="str">
        <f>'Cost Schedule'!$C$870</f>
        <v>Remove Buried Plastic Pipeline &lt;=0.3m</v>
      </c>
      <c r="D111" s="352"/>
      <c r="E111" s="335" t="s">
        <v>485</v>
      </c>
      <c r="F111" s="28" t="s">
        <v>211</v>
      </c>
      <c r="G111" s="456">
        <v>1600</v>
      </c>
      <c r="H111" s="456"/>
      <c r="I111" s="456"/>
      <c r="J111" s="456"/>
      <c r="K111" s="456"/>
      <c r="L111" s="456"/>
      <c r="M111" s="456"/>
      <c r="N111" s="456"/>
      <c r="O111" s="456"/>
      <c r="P111" s="456"/>
      <c r="Q111" s="504"/>
      <c r="R111" s="427"/>
    </row>
    <row r="112" spans="3:18">
      <c r="C112" s="353"/>
      <c r="D112" s="354"/>
      <c r="E112" s="335" t="s">
        <v>204</v>
      </c>
      <c r="F112" s="28" t="s">
        <v>293</v>
      </c>
      <c r="G112" s="342">
        <f t="shared" ref="G112:P112" si="58">_xlfn.XLOOKUP($C111,Pipelines_names_CS,Pipelines_rates_CS)</f>
        <v>11.26163640766136</v>
      </c>
      <c r="H112" s="342">
        <f t="shared" si="58"/>
        <v>11.26163640766136</v>
      </c>
      <c r="I112" s="342">
        <f t="shared" si="58"/>
        <v>11.26163640766136</v>
      </c>
      <c r="J112" s="342">
        <f t="shared" si="58"/>
        <v>11.26163640766136</v>
      </c>
      <c r="K112" s="342">
        <f t="shared" si="58"/>
        <v>11.26163640766136</v>
      </c>
      <c r="L112" s="342">
        <f t="shared" si="58"/>
        <v>11.26163640766136</v>
      </c>
      <c r="M112" s="342">
        <f t="shared" si="58"/>
        <v>11.26163640766136</v>
      </c>
      <c r="N112" s="342">
        <f t="shared" si="58"/>
        <v>11.26163640766136</v>
      </c>
      <c r="O112" s="342">
        <f t="shared" si="58"/>
        <v>11.26163640766136</v>
      </c>
      <c r="P112" s="342">
        <f t="shared" si="58"/>
        <v>11.26163640766136</v>
      </c>
      <c r="Q112" s="504"/>
      <c r="R112" s="427"/>
    </row>
    <row r="113" spans="3:18">
      <c r="C113" s="353"/>
      <c r="D113" s="354"/>
      <c r="E113" s="335" t="s">
        <v>206</v>
      </c>
      <c r="F113" s="28" t="s">
        <v>293</v>
      </c>
      <c r="G113" s="518"/>
      <c r="H113" s="518"/>
      <c r="I113" s="518"/>
      <c r="J113" s="518"/>
      <c r="K113" s="518"/>
      <c r="L113" s="518"/>
      <c r="M113" s="518"/>
      <c r="N113" s="518"/>
      <c r="O113" s="518"/>
      <c r="P113" s="518"/>
      <c r="Q113" s="504"/>
      <c r="R113" s="427"/>
    </row>
    <row r="114" spans="3:18">
      <c r="C114" s="355"/>
      <c r="D114" s="356"/>
      <c r="E114" s="335" t="s">
        <v>146</v>
      </c>
      <c r="F114" s="28" t="s">
        <v>207</v>
      </c>
      <c r="G114" s="424">
        <f t="shared" ref="G114:P114" si="59">G111*IF(G113="",G112,G113)</f>
        <v>18018.618252258177</v>
      </c>
      <c r="H114" s="424">
        <f t="shared" si="59"/>
        <v>0</v>
      </c>
      <c r="I114" s="424">
        <f t="shared" si="59"/>
        <v>0</v>
      </c>
      <c r="J114" s="424">
        <f t="shared" si="59"/>
        <v>0</v>
      </c>
      <c r="K114" s="424">
        <f t="shared" si="59"/>
        <v>0</v>
      </c>
      <c r="L114" s="424">
        <f t="shared" si="59"/>
        <v>0</v>
      </c>
      <c r="M114" s="424">
        <f t="shared" si="59"/>
        <v>0</v>
      </c>
      <c r="N114" s="424">
        <f t="shared" si="59"/>
        <v>0</v>
      </c>
      <c r="O114" s="424">
        <f t="shared" si="59"/>
        <v>0</v>
      </c>
      <c r="P114" s="424">
        <f t="shared" si="59"/>
        <v>0</v>
      </c>
      <c r="Q114" s="504"/>
      <c r="R114" s="427"/>
    </row>
    <row r="115" spans="3:18">
      <c r="C115" s="351" t="str">
        <f>'Cost Schedule'!$C$874</f>
        <v>Leave in place Buried Plastic Pipeline &gt;0.3 &lt;=0.5m</v>
      </c>
      <c r="D115" s="352"/>
      <c r="E115" s="335" t="s">
        <v>485</v>
      </c>
      <c r="F115" s="28" t="s">
        <v>211</v>
      </c>
      <c r="G115" s="456"/>
      <c r="H115" s="456"/>
      <c r="I115" s="456"/>
      <c r="J115" s="456"/>
      <c r="K115" s="456"/>
      <c r="L115" s="456"/>
      <c r="M115" s="456"/>
      <c r="N115" s="456"/>
      <c r="O115" s="456"/>
      <c r="P115" s="456"/>
      <c r="Q115" s="504"/>
      <c r="R115" s="427"/>
    </row>
    <row r="116" spans="3:18">
      <c r="C116" s="353"/>
      <c r="D116" s="354"/>
      <c r="E116" s="335" t="s">
        <v>204</v>
      </c>
      <c r="F116" s="28" t="s">
        <v>293</v>
      </c>
      <c r="G116" s="342">
        <f t="shared" ref="G116:P116" si="60">_xlfn.XLOOKUP($C115,Pipelines_names_CS,Pipelines_rates_CS)</f>
        <v>6.079122866407066</v>
      </c>
      <c r="H116" s="342">
        <f t="shared" si="60"/>
        <v>6.079122866407066</v>
      </c>
      <c r="I116" s="342">
        <f t="shared" si="60"/>
        <v>6.079122866407066</v>
      </c>
      <c r="J116" s="342">
        <f t="shared" si="60"/>
        <v>6.079122866407066</v>
      </c>
      <c r="K116" s="342">
        <f t="shared" si="60"/>
        <v>6.079122866407066</v>
      </c>
      <c r="L116" s="342">
        <f t="shared" si="60"/>
        <v>6.079122866407066</v>
      </c>
      <c r="M116" s="342">
        <f t="shared" si="60"/>
        <v>6.079122866407066</v>
      </c>
      <c r="N116" s="342">
        <f t="shared" si="60"/>
        <v>6.079122866407066</v>
      </c>
      <c r="O116" s="342">
        <f t="shared" si="60"/>
        <v>6.079122866407066</v>
      </c>
      <c r="P116" s="342">
        <f t="shared" si="60"/>
        <v>6.079122866407066</v>
      </c>
      <c r="Q116" s="504"/>
      <c r="R116" s="427"/>
    </row>
    <row r="117" spans="3:18">
      <c r="C117" s="353"/>
      <c r="D117" s="354"/>
      <c r="E117" s="335" t="s">
        <v>206</v>
      </c>
      <c r="F117" s="28" t="s">
        <v>293</v>
      </c>
      <c r="G117" s="518"/>
      <c r="H117" s="518"/>
      <c r="I117" s="518"/>
      <c r="J117" s="518"/>
      <c r="K117" s="518"/>
      <c r="L117" s="518"/>
      <c r="M117" s="518"/>
      <c r="N117" s="518"/>
      <c r="O117" s="518"/>
      <c r="P117" s="518"/>
      <c r="Q117" s="504"/>
      <c r="R117" s="427"/>
    </row>
    <row r="118" spans="3:18">
      <c r="C118" s="355"/>
      <c r="D118" s="356"/>
      <c r="E118" s="335" t="s">
        <v>146</v>
      </c>
      <c r="F118" s="28" t="s">
        <v>207</v>
      </c>
      <c r="G118" s="424">
        <f t="shared" ref="G118:P118" si="61">G115*IF(G117="",G116,G117)</f>
        <v>0</v>
      </c>
      <c r="H118" s="424">
        <f t="shared" si="61"/>
        <v>0</v>
      </c>
      <c r="I118" s="424">
        <f t="shared" si="61"/>
        <v>0</v>
      </c>
      <c r="J118" s="424">
        <f t="shared" si="61"/>
        <v>0</v>
      </c>
      <c r="K118" s="424">
        <f t="shared" si="61"/>
        <v>0</v>
      </c>
      <c r="L118" s="424">
        <f t="shared" si="61"/>
        <v>0</v>
      </c>
      <c r="M118" s="424">
        <f t="shared" si="61"/>
        <v>0</v>
      </c>
      <c r="N118" s="424">
        <f t="shared" si="61"/>
        <v>0</v>
      </c>
      <c r="O118" s="424">
        <f t="shared" si="61"/>
        <v>0</v>
      </c>
      <c r="P118" s="424">
        <f t="shared" si="61"/>
        <v>0</v>
      </c>
      <c r="Q118" s="504"/>
      <c r="R118" s="427"/>
    </row>
    <row r="119" spans="3:18">
      <c r="C119" s="351" t="str">
        <f>'Cost Schedule'!$C$875</f>
        <v>Leave in place Buried Plastic Pipeline &gt;0.5 &lt;=1m</v>
      </c>
      <c r="D119" s="352"/>
      <c r="E119" s="335" t="s">
        <v>485</v>
      </c>
      <c r="F119" s="28" t="s">
        <v>211</v>
      </c>
      <c r="G119" s="456"/>
      <c r="H119" s="456"/>
      <c r="I119" s="456"/>
      <c r="J119" s="456"/>
      <c r="K119" s="456"/>
      <c r="L119" s="456"/>
      <c r="M119" s="456"/>
      <c r="N119" s="456"/>
      <c r="O119" s="456"/>
      <c r="P119" s="456"/>
      <c r="Q119" s="504"/>
      <c r="R119" s="427"/>
    </row>
    <row r="120" spans="3:18">
      <c r="C120" s="353"/>
      <c r="D120" s="354"/>
      <c r="E120" s="335" t="s">
        <v>204</v>
      </c>
      <c r="F120" s="28" t="s">
        <v>293</v>
      </c>
      <c r="G120" s="342">
        <f t="shared" ref="G120:P120" si="62">_xlfn.XLOOKUP($C119,Pipelines_names_CS,Pipelines_rates_CS)</f>
        <v>31.26266410003997</v>
      </c>
      <c r="H120" s="342">
        <f t="shared" si="62"/>
        <v>31.26266410003997</v>
      </c>
      <c r="I120" s="342">
        <f t="shared" si="62"/>
        <v>31.26266410003997</v>
      </c>
      <c r="J120" s="342">
        <f t="shared" si="62"/>
        <v>31.26266410003997</v>
      </c>
      <c r="K120" s="342">
        <f t="shared" si="62"/>
        <v>31.26266410003997</v>
      </c>
      <c r="L120" s="342">
        <f t="shared" si="62"/>
        <v>31.26266410003997</v>
      </c>
      <c r="M120" s="342">
        <f t="shared" si="62"/>
        <v>31.26266410003997</v>
      </c>
      <c r="N120" s="342">
        <f t="shared" si="62"/>
        <v>31.26266410003997</v>
      </c>
      <c r="O120" s="342">
        <f t="shared" si="62"/>
        <v>31.26266410003997</v>
      </c>
      <c r="P120" s="342">
        <f t="shared" si="62"/>
        <v>31.26266410003997</v>
      </c>
      <c r="Q120" s="504"/>
      <c r="R120" s="427"/>
    </row>
    <row r="121" spans="3:18">
      <c r="C121" s="353"/>
      <c r="D121" s="354"/>
      <c r="E121" s="335" t="s">
        <v>206</v>
      </c>
      <c r="F121" s="28" t="s">
        <v>293</v>
      </c>
      <c r="G121" s="518"/>
      <c r="H121" s="518"/>
      <c r="I121" s="518"/>
      <c r="J121" s="518"/>
      <c r="K121" s="518"/>
      <c r="L121" s="518"/>
      <c r="M121" s="518"/>
      <c r="N121" s="518"/>
      <c r="O121" s="518"/>
      <c r="P121" s="518"/>
      <c r="Q121" s="504"/>
      <c r="R121" s="427"/>
    </row>
    <row r="122" spans="3:18">
      <c r="C122" s="355"/>
      <c r="D122" s="356"/>
      <c r="E122" s="335" t="s">
        <v>146</v>
      </c>
      <c r="F122" s="28" t="s">
        <v>207</v>
      </c>
      <c r="G122" s="424">
        <f t="shared" ref="G122:P122" si="63">G119*IF(G121="",G120,G121)</f>
        <v>0</v>
      </c>
      <c r="H122" s="424">
        <f t="shared" si="63"/>
        <v>0</v>
      </c>
      <c r="I122" s="424">
        <f t="shared" si="63"/>
        <v>0</v>
      </c>
      <c r="J122" s="424">
        <f t="shared" si="63"/>
        <v>0</v>
      </c>
      <c r="K122" s="424">
        <f t="shared" si="63"/>
        <v>0</v>
      </c>
      <c r="L122" s="424">
        <f t="shared" si="63"/>
        <v>0</v>
      </c>
      <c r="M122" s="424">
        <f t="shared" si="63"/>
        <v>0</v>
      </c>
      <c r="N122" s="424">
        <f t="shared" si="63"/>
        <v>0</v>
      </c>
      <c r="O122" s="424">
        <f t="shared" si="63"/>
        <v>0</v>
      </c>
      <c r="P122" s="424">
        <f t="shared" si="63"/>
        <v>0</v>
      </c>
      <c r="Q122" s="504"/>
      <c r="R122" s="427"/>
    </row>
    <row r="123" spans="3:18">
      <c r="C123" s="351" t="str">
        <f>'Cost Schedule'!$C$876</f>
        <v>Remove Above ground Plastic Pipeline &lt;=0.3m. Supported</v>
      </c>
      <c r="D123" s="352"/>
      <c r="E123" s="335" t="s">
        <v>485</v>
      </c>
      <c r="F123" s="28" t="s">
        <v>211</v>
      </c>
      <c r="G123" s="456"/>
      <c r="H123" s="456"/>
      <c r="I123" s="456"/>
      <c r="J123" s="456"/>
      <c r="K123" s="456"/>
      <c r="L123" s="456"/>
      <c r="M123" s="456"/>
      <c r="N123" s="456"/>
      <c r="O123" s="456"/>
      <c r="P123" s="456"/>
      <c r="Q123" s="504"/>
      <c r="R123" s="427"/>
    </row>
    <row r="124" spans="3:18">
      <c r="C124" s="353"/>
      <c r="D124" s="354"/>
      <c r="E124" s="335" t="s">
        <v>204</v>
      </c>
      <c r="F124" s="28" t="s">
        <v>293</v>
      </c>
      <c r="G124" s="342">
        <f t="shared" ref="G124:P124" si="64">_xlfn.XLOOKUP($C123,Pipelines_names_CS,Pipelines_rates_CS)</f>
        <v>33.891578025824423</v>
      </c>
      <c r="H124" s="342">
        <f t="shared" si="64"/>
        <v>33.891578025824423</v>
      </c>
      <c r="I124" s="342">
        <f t="shared" si="64"/>
        <v>33.891578025824423</v>
      </c>
      <c r="J124" s="342">
        <f t="shared" si="64"/>
        <v>33.891578025824423</v>
      </c>
      <c r="K124" s="342">
        <f t="shared" si="64"/>
        <v>33.891578025824423</v>
      </c>
      <c r="L124" s="342">
        <f t="shared" si="64"/>
        <v>33.891578025824423</v>
      </c>
      <c r="M124" s="342">
        <f t="shared" si="64"/>
        <v>33.891578025824423</v>
      </c>
      <c r="N124" s="342">
        <f t="shared" si="64"/>
        <v>33.891578025824423</v>
      </c>
      <c r="O124" s="342">
        <f t="shared" si="64"/>
        <v>33.891578025824423</v>
      </c>
      <c r="P124" s="342">
        <f t="shared" si="64"/>
        <v>33.891578025824423</v>
      </c>
      <c r="Q124" s="504"/>
      <c r="R124" s="427"/>
    </row>
    <row r="125" spans="3:18">
      <c r="C125" s="353"/>
      <c r="D125" s="354"/>
      <c r="E125" s="335" t="s">
        <v>206</v>
      </c>
      <c r="F125" s="28" t="s">
        <v>293</v>
      </c>
      <c r="G125" s="518"/>
      <c r="H125" s="518"/>
      <c r="I125" s="518"/>
      <c r="J125" s="518"/>
      <c r="K125" s="518"/>
      <c r="L125" s="518"/>
      <c r="M125" s="518"/>
      <c r="N125" s="518"/>
      <c r="O125" s="518"/>
      <c r="P125" s="518"/>
      <c r="Q125" s="504"/>
      <c r="R125" s="427"/>
    </row>
    <row r="126" spans="3:18">
      <c r="C126" s="355"/>
      <c r="D126" s="356"/>
      <c r="E126" s="335" t="s">
        <v>146</v>
      </c>
      <c r="F126" s="28" t="s">
        <v>207</v>
      </c>
      <c r="G126" s="424">
        <f t="shared" ref="G126:P126" si="65">G123*IF(G125="",G124,G125)</f>
        <v>0</v>
      </c>
      <c r="H126" s="424">
        <f t="shared" si="65"/>
        <v>0</v>
      </c>
      <c r="I126" s="424">
        <f t="shared" si="65"/>
        <v>0</v>
      </c>
      <c r="J126" s="424">
        <f t="shared" si="65"/>
        <v>0</v>
      </c>
      <c r="K126" s="424">
        <f t="shared" si="65"/>
        <v>0</v>
      </c>
      <c r="L126" s="424">
        <f t="shared" si="65"/>
        <v>0</v>
      </c>
      <c r="M126" s="424">
        <f t="shared" si="65"/>
        <v>0</v>
      </c>
      <c r="N126" s="424">
        <f t="shared" si="65"/>
        <v>0</v>
      </c>
      <c r="O126" s="424">
        <f t="shared" si="65"/>
        <v>0</v>
      </c>
      <c r="P126" s="424">
        <f t="shared" si="65"/>
        <v>0</v>
      </c>
      <c r="Q126" s="504"/>
      <c r="R126" s="427"/>
    </row>
    <row r="127" spans="3:18">
      <c r="C127" s="351" t="str">
        <f>'Cost Schedule'!$C$877</f>
        <v>Remove Above ground Plastic Pipeline &gt;0.3 &lt;=0.5m. Supported</v>
      </c>
      <c r="D127" s="352"/>
      <c r="E127" s="335" t="s">
        <v>485</v>
      </c>
      <c r="F127" s="28" t="s">
        <v>211</v>
      </c>
      <c r="G127" s="456">
        <v>290</v>
      </c>
      <c r="H127" s="456"/>
      <c r="I127" s="456"/>
      <c r="J127" s="456"/>
      <c r="K127" s="456"/>
      <c r="L127" s="456"/>
      <c r="M127" s="456"/>
      <c r="N127" s="456"/>
      <c r="O127" s="456"/>
      <c r="P127" s="456"/>
      <c r="Q127" s="504"/>
      <c r="R127" s="427"/>
    </row>
    <row r="128" spans="3:18">
      <c r="C128" s="353"/>
      <c r="D128" s="354"/>
      <c r="E128" s="335" t="s">
        <v>204</v>
      </c>
      <c r="F128" s="28" t="s">
        <v>293</v>
      </c>
      <c r="G128" s="342">
        <f t="shared" ref="G128:P128" si="66">_xlfn.XLOOKUP($C127,Pipelines_names_CS,Pipelines_rates_CS)</f>
        <v>37.747606151236781</v>
      </c>
      <c r="H128" s="342">
        <f t="shared" si="66"/>
        <v>37.747606151236781</v>
      </c>
      <c r="I128" s="342">
        <f t="shared" si="66"/>
        <v>37.747606151236781</v>
      </c>
      <c r="J128" s="342">
        <f t="shared" si="66"/>
        <v>37.747606151236781</v>
      </c>
      <c r="K128" s="342">
        <f t="shared" si="66"/>
        <v>37.747606151236781</v>
      </c>
      <c r="L128" s="342">
        <f t="shared" si="66"/>
        <v>37.747606151236781</v>
      </c>
      <c r="M128" s="342">
        <f t="shared" si="66"/>
        <v>37.747606151236781</v>
      </c>
      <c r="N128" s="342">
        <f t="shared" si="66"/>
        <v>37.747606151236781</v>
      </c>
      <c r="O128" s="342">
        <f t="shared" si="66"/>
        <v>37.747606151236781</v>
      </c>
      <c r="P128" s="342">
        <f t="shared" si="66"/>
        <v>37.747606151236781</v>
      </c>
      <c r="Q128" s="504"/>
      <c r="R128" s="427"/>
    </row>
    <row r="129" spans="3:18">
      <c r="C129" s="353"/>
      <c r="D129" s="354"/>
      <c r="E129" s="335" t="s">
        <v>206</v>
      </c>
      <c r="F129" s="28" t="s">
        <v>293</v>
      </c>
      <c r="G129" s="518"/>
      <c r="H129" s="518"/>
      <c r="I129" s="518"/>
      <c r="J129" s="518"/>
      <c r="K129" s="518"/>
      <c r="L129" s="518"/>
      <c r="M129" s="518"/>
      <c r="N129" s="518"/>
      <c r="O129" s="518"/>
      <c r="P129" s="518"/>
      <c r="Q129" s="504"/>
      <c r="R129" s="427"/>
    </row>
    <row r="130" spans="3:18">
      <c r="C130" s="355"/>
      <c r="D130" s="356"/>
      <c r="E130" s="335" t="s">
        <v>146</v>
      </c>
      <c r="F130" s="28" t="s">
        <v>207</v>
      </c>
      <c r="G130" s="424">
        <f t="shared" ref="G130:P130" si="67">G127*IF(G129="",G128,G129)</f>
        <v>10946.805783858666</v>
      </c>
      <c r="H130" s="424">
        <f t="shared" si="67"/>
        <v>0</v>
      </c>
      <c r="I130" s="424">
        <f t="shared" si="67"/>
        <v>0</v>
      </c>
      <c r="J130" s="424">
        <f t="shared" si="67"/>
        <v>0</v>
      </c>
      <c r="K130" s="424">
        <f t="shared" si="67"/>
        <v>0</v>
      </c>
      <c r="L130" s="424">
        <f t="shared" si="67"/>
        <v>0</v>
      </c>
      <c r="M130" s="424">
        <f t="shared" si="67"/>
        <v>0</v>
      </c>
      <c r="N130" s="424">
        <f t="shared" si="67"/>
        <v>0</v>
      </c>
      <c r="O130" s="424">
        <f t="shared" si="67"/>
        <v>0</v>
      </c>
      <c r="P130" s="424">
        <f t="shared" si="67"/>
        <v>0</v>
      </c>
      <c r="Q130" s="504"/>
      <c r="R130" s="427"/>
    </row>
    <row r="131" spans="3:18">
      <c r="C131" s="351" t="str">
        <f>'Cost Schedule'!$C$878</f>
        <v>Remove Above ground Plastic Pipeline &gt;0.5 &lt;=1m. Supported</v>
      </c>
      <c r="D131" s="352"/>
      <c r="E131" s="335" t="s">
        <v>485</v>
      </c>
      <c r="F131" s="28" t="s">
        <v>211</v>
      </c>
      <c r="G131" s="456"/>
      <c r="H131" s="456"/>
      <c r="I131" s="456"/>
      <c r="J131" s="456"/>
      <c r="K131" s="456"/>
      <c r="L131" s="456"/>
      <c r="M131" s="456"/>
      <c r="N131" s="456"/>
      <c r="O131" s="456"/>
      <c r="P131" s="456"/>
      <c r="Q131" s="504"/>
      <c r="R131" s="427"/>
    </row>
    <row r="132" spans="3:18">
      <c r="C132" s="353"/>
      <c r="D132" s="354"/>
      <c r="E132" s="335" t="s">
        <v>204</v>
      </c>
      <c r="F132" s="28" t="s">
        <v>293</v>
      </c>
      <c r="G132" s="342">
        <f t="shared" ref="G132:P132" si="68">_xlfn.XLOOKUP($C131,Pipelines_names_CS,Pipelines_rates_CS)</f>
        <v>62.958022384869679</v>
      </c>
      <c r="H132" s="342">
        <f t="shared" si="68"/>
        <v>62.958022384869679</v>
      </c>
      <c r="I132" s="342">
        <f t="shared" si="68"/>
        <v>62.958022384869679</v>
      </c>
      <c r="J132" s="342">
        <f t="shared" si="68"/>
        <v>62.958022384869679</v>
      </c>
      <c r="K132" s="342">
        <f t="shared" si="68"/>
        <v>62.958022384869679</v>
      </c>
      <c r="L132" s="342">
        <f t="shared" si="68"/>
        <v>62.958022384869679</v>
      </c>
      <c r="M132" s="342">
        <f t="shared" si="68"/>
        <v>62.958022384869679</v>
      </c>
      <c r="N132" s="342">
        <f t="shared" si="68"/>
        <v>62.958022384869679</v>
      </c>
      <c r="O132" s="342">
        <f t="shared" si="68"/>
        <v>62.958022384869679</v>
      </c>
      <c r="P132" s="342">
        <f t="shared" si="68"/>
        <v>62.958022384869679</v>
      </c>
      <c r="Q132" s="504"/>
      <c r="R132" s="427"/>
    </row>
    <row r="133" spans="3:18">
      <c r="C133" s="353"/>
      <c r="D133" s="354"/>
      <c r="E133" s="335" t="s">
        <v>206</v>
      </c>
      <c r="F133" s="28" t="s">
        <v>293</v>
      </c>
      <c r="G133" s="518"/>
      <c r="H133" s="518"/>
      <c r="I133" s="518"/>
      <c r="J133" s="518"/>
      <c r="K133" s="518"/>
      <c r="L133" s="518"/>
      <c r="M133" s="518"/>
      <c r="N133" s="518"/>
      <c r="O133" s="518"/>
      <c r="P133" s="518"/>
      <c r="Q133" s="504"/>
      <c r="R133" s="427"/>
    </row>
    <row r="134" spans="3:18">
      <c r="C134" s="355"/>
      <c r="D134" s="356"/>
      <c r="E134" s="335" t="s">
        <v>146</v>
      </c>
      <c r="F134" s="28" t="s">
        <v>207</v>
      </c>
      <c r="G134" s="424">
        <f t="shared" ref="G134:P134" si="69">G131*IF(G133="",G132,G133)</f>
        <v>0</v>
      </c>
      <c r="H134" s="424">
        <f t="shared" si="69"/>
        <v>0</v>
      </c>
      <c r="I134" s="424">
        <f t="shared" si="69"/>
        <v>0</v>
      </c>
      <c r="J134" s="424">
        <f t="shared" si="69"/>
        <v>0</v>
      </c>
      <c r="K134" s="424">
        <f t="shared" si="69"/>
        <v>0</v>
      </c>
      <c r="L134" s="424">
        <f t="shared" si="69"/>
        <v>0</v>
      </c>
      <c r="M134" s="424">
        <f t="shared" si="69"/>
        <v>0</v>
      </c>
      <c r="N134" s="424">
        <f t="shared" si="69"/>
        <v>0</v>
      </c>
      <c r="O134" s="424">
        <f t="shared" si="69"/>
        <v>0</v>
      </c>
      <c r="P134" s="424">
        <f t="shared" si="69"/>
        <v>0</v>
      </c>
      <c r="Q134" s="504"/>
      <c r="R134" s="427"/>
    </row>
    <row r="135" spans="3:18">
      <c r="C135" s="351" t="str">
        <f>'Cost Schedule'!$C$879</f>
        <v>Remove Above ground Plastic Pipeline &lt;=0.3m. Unsupported</v>
      </c>
      <c r="D135" s="352"/>
      <c r="E135" s="335" t="s">
        <v>485</v>
      </c>
      <c r="F135" s="28" t="s">
        <v>211</v>
      </c>
      <c r="G135" s="456"/>
      <c r="H135" s="456"/>
      <c r="I135" s="456"/>
      <c r="J135" s="456"/>
      <c r="K135" s="456"/>
      <c r="L135" s="456"/>
      <c r="M135" s="456"/>
      <c r="N135" s="456"/>
      <c r="O135" s="456"/>
      <c r="P135" s="456"/>
      <c r="Q135" s="504"/>
      <c r="R135" s="427"/>
    </row>
    <row r="136" spans="3:18">
      <c r="C136" s="353"/>
      <c r="D136" s="354"/>
      <c r="E136" s="335" t="s">
        <v>204</v>
      </c>
      <c r="F136" s="28" t="s">
        <v>293</v>
      </c>
      <c r="G136" s="342">
        <f t="shared" ref="G136:P136" si="70">_xlfn.XLOOKUP($C135,Pipelines_names_CS,Pipelines_rates_CS)</f>
        <v>6.3216364076613614</v>
      </c>
      <c r="H136" s="342">
        <f t="shared" si="70"/>
        <v>6.3216364076613614</v>
      </c>
      <c r="I136" s="342">
        <f t="shared" si="70"/>
        <v>6.3216364076613614</v>
      </c>
      <c r="J136" s="342">
        <f t="shared" si="70"/>
        <v>6.3216364076613614</v>
      </c>
      <c r="K136" s="342">
        <f t="shared" si="70"/>
        <v>6.3216364076613614</v>
      </c>
      <c r="L136" s="342">
        <f t="shared" si="70"/>
        <v>6.3216364076613614</v>
      </c>
      <c r="M136" s="342">
        <f t="shared" si="70"/>
        <v>6.3216364076613614</v>
      </c>
      <c r="N136" s="342">
        <f t="shared" si="70"/>
        <v>6.3216364076613614</v>
      </c>
      <c r="O136" s="342">
        <f t="shared" si="70"/>
        <v>6.3216364076613614</v>
      </c>
      <c r="P136" s="342">
        <f t="shared" si="70"/>
        <v>6.3216364076613614</v>
      </c>
      <c r="Q136" s="504"/>
      <c r="R136" s="427"/>
    </row>
    <row r="137" spans="3:18">
      <c r="C137" s="353"/>
      <c r="D137" s="354"/>
      <c r="E137" s="335" t="s">
        <v>206</v>
      </c>
      <c r="F137" s="28" t="s">
        <v>293</v>
      </c>
      <c r="G137" s="518"/>
      <c r="H137" s="518"/>
      <c r="I137" s="518"/>
      <c r="J137" s="518"/>
      <c r="K137" s="518"/>
      <c r="L137" s="518"/>
      <c r="M137" s="518"/>
      <c r="N137" s="518"/>
      <c r="O137" s="518"/>
      <c r="P137" s="518"/>
      <c r="Q137" s="504"/>
      <c r="R137" s="427"/>
    </row>
    <row r="138" spans="3:18">
      <c r="C138" s="355"/>
      <c r="D138" s="356"/>
      <c r="E138" s="335" t="s">
        <v>146</v>
      </c>
      <c r="F138" s="28" t="s">
        <v>207</v>
      </c>
      <c r="G138" s="424">
        <f t="shared" ref="G138:P138" si="71">G135*IF(G137="",G136,G137)</f>
        <v>0</v>
      </c>
      <c r="H138" s="424">
        <f t="shared" si="71"/>
        <v>0</v>
      </c>
      <c r="I138" s="424">
        <f t="shared" si="71"/>
        <v>0</v>
      </c>
      <c r="J138" s="424">
        <f t="shared" si="71"/>
        <v>0</v>
      </c>
      <c r="K138" s="424">
        <f t="shared" si="71"/>
        <v>0</v>
      </c>
      <c r="L138" s="424">
        <f t="shared" si="71"/>
        <v>0</v>
      </c>
      <c r="M138" s="424">
        <f t="shared" si="71"/>
        <v>0</v>
      </c>
      <c r="N138" s="424">
        <f t="shared" si="71"/>
        <v>0</v>
      </c>
      <c r="O138" s="424">
        <f t="shared" si="71"/>
        <v>0</v>
      </c>
      <c r="P138" s="424">
        <f t="shared" si="71"/>
        <v>0</v>
      </c>
      <c r="Q138" s="504"/>
      <c r="R138" s="427"/>
    </row>
    <row r="139" spans="3:18">
      <c r="C139" s="351" t="str">
        <f>'Cost Schedule'!$C$880</f>
        <v>Remove Above ground Plastic Pipeline &gt;0.3 &lt;=0.5m. Unsupported</v>
      </c>
      <c r="D139" s="352"/>
      <c r="E139" s="335" t="s">
        <v>485</v>
      </c>
      <c r="F139" s="28" t="s">
        <v>211</v>
      </c>
      <c r="G139" s="456"/>
      <c r="H139" s="456"/>
      <c r="I139" s="456"/>
      <c r="J139" s="456"/>
      <c r="K139" s="456"/>
      <c r="L139" s="456"/>
      <c r="M139" s="456"/>
      <c r="N139" s="456"/>
      <c r="O139" s="456"/>
      <c r="P139" s="456"/>
      <c r="Q139" s="504"/>
      <c r="R139" s="427"/>
    </row>
    <row r="140" spans="3:18">
      <c r="C140" s="353"/>
      <c r="D140" s="354"/>
      <c r="E140" s="335" t="s">
        <v>204</v>
      </c>
      <c r="F140" s="28" t="s">
        <v>293</v>
      </c>
      <c r="G140" s="342">
        <f t="shared" ref="G140:P140" si="72">_xlfn.XLOOKUP($C139,Pipelines_names_CS,Pipelines_rates_CS)</f>
        <v>10.177664533073733</v>
      </c>
      <c r="H140" s="342">
        <f t="shared" si="72"/>
        <v>10.177664533073733</v>
      </c>
      <c r="I140" s="342">
        <f t="shared" si="72"/>
        <v>10.177664533073733</v>
      </c>
      <c r="J140" s="342">
        <f t="shared" si="72"/>
        <v>10.177664533073733</v>
      </c>
      <c r="K140" s="342">
        <f t="shared" si="72"/>
        <v>10.177664533073733</v>
      </c>
      <c r="L140" s="342">
        <f t="shared" si="72"/>
        <v>10.177664533073733</v>
      </c>
      <c r="M140" s="342">
        <f t="shared" si="72"/>
        <v>10.177664533073733</v>
      </c>
      <c r="N140" s="342">
        <f t="shared" si="72"/>
        <v>10.177664533073733</v>
      </c>
      <c r="O140" s="342">
        <f t="shared" si="72"/>
        <v>10.177664533073733</v>
      </c>
      <c r="P140" s="342">
        <f t="shared" si="72"/>
        <v>10.177664533073733</v>
      </c>
      <c r="Q140" s="504"/>
      <c r="R140" s="427"/>
    </row>
    <row r="141" spans="3:18">
      <c r="C141" s="353"/>
      <c r="D141" s="354"/>
      <c r="E141" s="335" t="s">
        <v>206</v>
      </c>
      <c r="F141" s="28" t="s">
        <v>293</v>
      </c>
      <c r="G141" s="518"/>
      <c r="H141" s="518"/>
      <c r="I141" s="518"/>
      <c r="J141" s="518"/>
      <c r="K141" s="518"/>
      <c r="L141" s="518"/>
      <c r="M141" s="518"/>
      <c r="N141" s="518"/>
      <c r="O141" s="518"/>
      <c r="P141" s="518"/>
      <c r="Q141" s="504"/>
      <c r="R141" s="427"/>
    </row>
    <row r="142" spans="3:18">
      <c r="C142" s="355"/>
      <c r="D142" s="356"/>
      <c r="E142" s="335" t="s">
        <v>146</v>
      </c>
      <c r="F142" s="28" t="s">
        <v>207</v>
      </c>
      <c r="G142" s="424">
        <f t="shared" ref="G142:P142" si="73">G139*IF(G141="",G140,G141)</f>
        <v>0</v>
      </c>
      <c r="H142" s="424">
        <f t="shared" si="73"/>
        <v>0</v>
      </c>
      <c r="I142" s="424">
        <f t="shared" si="73"/>
        <v>0</v>
      </c>
      <c r="J142" s="424">
        <f t="shared" si="73"/>
        <v>0</v>
      </c>
      <c r="K142" s="424">
        <f t="shared" si="73"/>
        <v>0</v>
      </c>
      <c r="L142" s="424">
        <f t="shared" si="73"/>
        <v>0</v>
      </c>
      <c r="M142" s="424">
        <f t="shared" si="73"/>
        <v>0</v>
      </c>
      <c r="N142" s="424">
        <f t="shared" si="73"/>
        <v>0</v>
      </c>
      <c r="O142" s="424">
        <f t="shared" si="73"/>
        <v>0</v>
      </c>
      <c r="P142" s="424">
        <f t="shared" si="73"/>
        <v>0</v>
      </c>
      <c r="Q142" s="504"/>
      <c r="R142" s="427"/>
    </row>
    <row r="143" spans="3:18">
      <c r="C143" s="351" t="str">
        <f>'Cost Schedule'!$C$881</f>
        <v>Remove Above ground Plastic Pipeline &gt;0.5 &lt;=1m. Unsupported</v>
      </c>
      <c r="D143" s="352"/>
      <c r="E143" s="335" t="s">
        <v>485</v>
      </c>
      <c r="F143" s="28" t="s">
        <v>211</v>
      </c>
      <c r="G143" s="456"/>
      <c r="H143" s="456"/>
      <c r="I143" s="456"/>
      <c r="J143" s="456"/>
      <c r="K143" s="456"/>
      <c r="L143" s="456"/>
      <c r="M143" s="456"/>
      <c r="N143" s="456"/>
      <c r="O143" s="456"/>
      <c r="P143" s="456"/>
      <c r="Q143" s="504"/>
      <c r="R143" s="427"/>
    </row>
    <row r="144" spans="3:18">
      <c r="C144" s="353"/>
      <c r="D144" s="354"/>
      <c r="E144" s="335" t="s">
        <v>204</v>
      </c>
      <c r="F144" s="28" t="s">
        <v>293</v>
      </c>
      <c r="G144" s="342">
        <f t="shared" ref="G144:P144" si="74">_xlfn.XLOOKUP($C143,Pipelines_names_CS,Pipelines_rates_CS)</f>
        <v>35.388080766706643</v>
      </c>
      <c r="H144" s="342">
        <f t="shared" si="74"/>
        <v>35.388080766706643</v>
      </c>
      <c r="I144" s="342">
        <f t="shared" si="74"/>
        <v>35.388080766706643</v>
      </c>
      <c r="J144" s="342">
        <f t="shared" si="74"/>
        <v>35.388080766706643</v>
      </c>
      <c r="K144" s="342">
        <f t="shared" si="74"/>
        <v>35.388080766706643</v>
      </c>
      <c r="L144" s="342">
        <f t="shared" si="74"/>
        <v>35.388080766706643</v>
      </c>
      <c r="M144" s="342">
        <f t="shared" si="74"/>
        <v>35.388080766706643</v>
      </c>
      <c r="N144" s="342">
        <f t="shared" si="74"/>
        <v>35.388080766706643</v>
      </c>
      <c r="O144" s="342">
        <f t="shared" si="74"/>
        <v>35.388080766706643</v>
      </c>
      <c r="P144" s="342">
        <f t="shared" si="74"/>
        <v>35.388080766706643</v>
      </c>
      <c r="Q144" s="504"/>
      <c r="R144" s="427"/>
    </row>
    <row r="145" spans="3:18">
      <c r="C145" s="353"/>
      <c r="D145" s="354"/>
      <c r="E145" s="335" t="s">
        <v>206</v>
      </c>
      <c r="F145" s="28" t="s">
        <v>293</v>
      </c>
      <c r="G145" s="518"/>
      <c r="H145" s="518"/>
      <c r="I145" s="518"/>
      <c r="J145" s="518"/>
      <c r="K145" s="518"/>
      <c r="L145" s="518"/>
      <c r="M145" s="518"/>
      <c r="N145" s="518"/>
      <c r="O145" s="518"/>
      <c r="P145" s="518"/>
      <c r="Q145" s="504"/>
      <c r="R145" s="427"/>
    </row>
    <row r="146" spans="3:18">
      <c r="C146" s="355"/>
      <c r="D146" s="356"/>
      <c r="E146" s="335" t="s">
        <v>146</v>
      </c>
      <c r="F146" s="28" t="s">
        <v>207</v>
      </c>
      <c r="G146" s="424">
        <f t="shared" ref="G146:P146" si="75">G143*IF(G145="",G144,G145)</f>
        <v>0</v>
      </c>
      <c r="H146" s="424">
        <f t="shared" si="75"/>
        <v>0</v>
      </c>
      <c r="I146" s="424">
        <f t="shared" si="75"/>
        <v>0</v>
      </c>
      <c r="J146" s="424">
        <f t="shared" si="75"/>
        <v>0</v>
      </c>
      <c r="K146" s="424">
        <f t="shared" si="75"/>
        <v>0</v>
      </c>
      <c r="L146" s="424">
        <f t="shared" si="75"/>
        <v>0</v>
      </c>
      <c r="M146" s="424">
        <f t="shared" si="75"/>
        <v>0</v>
      </c>
      <c r="N146" s="424">
        <f t="shared" si="75"/>
        <v>0</v>
      </c>
      <c r="O146" s="424">
        <f t="shared" si="75"/>
        <v>0</v>
      </c>
      <c r="P146" s="424">
        <f t="shared" si="75"/>
        <v>0</v>
      </c>
      <c r="Q146" s="504"/>
      <c r="R146" s="427"/>
    </row>
    <row r="147" spans="3:18">
      <c r="C147" s="351" t="str">
        <f>'Cost Schedule'!$C$882</f>
        <v>Remove Buried Steel Pipeline &lt;=0.1m</v>
      </c>
      <c r="D147" s="352"/>
      <c r="E147" s="335" t="s">
        <v>485</v>
      </c>
      <c r="F147" s="28" t="s">
        <v>211</v>
      </c>
      <c r="G147" s="456"/>
      <c r="H147" s="456"/>
      <c r="I147" s="456"/>
      <c r="J147" s="456"/>
      <c r="K147" s="456"/>
      <c r="L147" s="456"/>
      <c r="M147" s="456"/>
      <c r="N147" s="456"/>
      <c r="O147" s="456"/>
      <c r="P147" s="456"/>
      <c r="Q147" s="504"/>
      <c r="R147" s="427"/>
    </row>
    <row r="148" spans="3:18">
      <c r="C148" s="353"/>
      <c r="D148" s="354"/>
      <c r="E148" s="335" t="s">
        <v>204</v>
      </c>
      <c r="F148" s="28" t="s">
        <v>293</v>
      </c>
      <c r="G148" s="342">
        <f t="shared" ref="G148:P148" si="76">_xlfn.XLOOKUP($C147,Pipelines_names_CS,Pipelines_rates_CS)</f>
        <v>13.355998967123895</v>
      </c>
      <c r="H148" s="342">
        <f t="shared" si="76"/>
        <v>13.355998967123895</v>
      </c>
      <c r="I148" s="342">
        <f t="shared" si="76"/>
        <v>13.355998967123895</v>
      </c>
      <c r="J148" s="342">
        <f t="shared" si="76"/>
        <v>13.355998967123895</v>
      </c>
      <c r="K148" s="342">
        <f t="shared" si="76"/>
        <v>13.355998967123895</v>
      </c>
      <c r="L148" s="342">
        <f t="shared" si="76"/>
        <v>13.355998967123895</v>
      </c>
      <c r="M148" s="342">
        <f t="shared" si="76"/>
        <v>13.355998967123895</v>
      </c>
      <c r="N148" s="342">
        <f t="shared" si="76"/>
        <v>13.355998967123895</v>
      </c>
      <c r="O148" s="342">
        <f t="shared" si="76"/>
        <v>13.355998967123895</v>
      </c>
      <c r="P148" s="342">
        <f t="shared" si="76"/>
        <v>13.355998967123895</v>
      </c>
      <c r="Q148" s="504"/>
      <c r="R148" s="427"/>
    </row>
    <row r="149" spans="3:18">
      <c r="C149" s="353"/>
      <c r="D149" s="354"/>
      <c r="E149" s="335" t="s">
        <v>206</v>
      </c>
      <c r="F149" s="28" t="s">
        <v>293</v>
      </c>
      <c r="G149" s="518"/>
      <c r="H149" s="518"/>
      <c r="I149" s="518"/>
      <c r="J149" s="518"/>
      <c r="K149" s="518"/>
      <c r="L149" s="518"/>
      <c r="M149" s="518"/>
      <c r="N149" s="518"/>
      <c r="O149" s="518"/>
      <c r="P149" s="518"/>
      <c r="Q149" s="504"/>
      <c r="R149" s="427"/>
    </row>
    <row r="150" spans="3:18">
      <c r="C150" s="355"/>
      <c r="D150" s="356"/>
      <c r="E150" s="335" t="s">
        <v>146</v>
      </c>
      <c r="F150" s="28" t="s">
        <v>207</v>
      </c>
      <c r="G150" s="424">
        <f t="shared" ref="G150:P150" si="77">G147*IF(G149="",G148,G149)</f>
        <v>0</v>
      </c>
      <c r="H150" s="424">
        <f t="shared" si="77"/>
        <v>0</v>
      </c>
      <c r="I150" s="424">
        <f t="shared" si="77"/>
        <v>0</v>
      </c>
      <c r="J150" s="424">
        <f t="shared" si="77"/>
        <v>0</v>
      </c>
      <c r="K150" s="424">
        <f t="shared" si="77"/>
        <v>0</v>
      </c>
      <c r="L150" s="424">
        <f t="shared" si="77"/>
        <v>0</v>
      </c>
      <c r="M150" s="424">
        <f t="shared" si="77"/>
        <v>0</v>
      </c>
      <c r="N150" s="424">
        <f t="shared" si="77"/>
        <v>0</v>
      </c>
      <c r="O150" s="424">
        <f t="shared" si="77"/>
        <v>0</v>
      </c>
      <c r="P150" s="424">
        <f t="shared" si="77"/>
        <v>0</v>
      </c>
      <c r="Q150" s="504"/>
      <c r="R150" s="427"/>
    </row>
    <row r="151" spans="3:18">
      <c r="C151" s="351" t="str">
        <f>'Cost Schedule'!$C$883</f>
        <v>Remove Buried Steel Pipeline &gt;0.1 &lt;=0.25m</v>
      </c>
      <c r="D151" s="352"/>
      <c r="E151" s="335" t="s">
        <v>485</v>
      </c>
      <c r="F151" s="28" t="s">
        <v>211</v>
      </c>
      <c r="G151" s="456">
        <v>4000</v>
      </c>
      <c r="H151" s="456"/>
      <c r="I151" s="456"/>
      <c r="J151" s="456"/>
      <c r="K151" s="456"/>
      <c r="L151" s="456"/>
      <c r="M151" s="456"/>
      <c r="N151" s="456"/>
      <c r="O151" s="456"/>
      <c r="P151" s="456"/>
      <c r="Q151" s="504"/>
      <c r="R151" s="427"/>
    </row>
    <row r="152" spans="3:18">
      <c r="C152" s="353"/>
      <c r="D152" s="354"/>
      <c r="E152" s="335" t="s">
        <v>204</v>
      </c>
      <c r="F152" s="28" t="s">
        <v>293</v>
      </c>
      <c r="G152" s="342">
        <f t="shared" ref="G152:P152" si="78">_xlfn.XLOOKUP($C151,Pipelines_names_CS,Pipelines_rates_CS)</f>
        <v>23.552906380322558</v>
      </c>
      <c r="H152" s="342">
        <f t="shared" si="78"/>
        <v>23.552906380322558</v>
      </c>
      <c r="I152" s="342">
        <f t="shared" si="78"/>
        <v>23.552906380322558</v>
      </c>
      <c r="J152" s="342">
        <f t="shared" si="78"/>
        <v>23.552906380322558</v>
      </c>
      <c r="K152" s="342">
        <f t="shared" si="78"/>
        <v>23.552906380322558</v>
      </c>
      <c r="L152" s="342">
        <f t="shared" si="78"/>
        <v>23.552906380322558</v>
      </c>
      <c r="M152" s="342">
        <f t="shared" si="78"/>
        <v>23.552906380322558</v>
      </c>
      <c r="N152" s="342">
        <f t="shared" si="78"/>
        <v>23.552906380322558</v>
      </c>
      <c r="O152" s="342">
        <f t="shared" si="78"/>
        <v>23.552906380322558</v>
      </c>
      <c r="P152" s="342">
        <f t="shared" si="78"/>
        <v>23.552906380322558</v>
      </c>
      <c r="Q152" s="504"/>
      <c r="R152" s="427"/>
    </row>
    <row r="153" spans="3:18">
      <c r="C153" s="353"/>
      <c r="D153" s="354"/>
      <c r="E153" s="335" t="s">
        <v>206</v>
      </c>
      <c r="F153" s="28" t="s">
        <v>293</v>
      </c>
      <c r="G153" s="518"/>
      <c r="H153" s="518"/>
      <c r="I153" s="518"/>
      <c r="J153" s="518"/>
      <c r="K153" s="518"/>
      <c r="L153" s="518"/>
      <c r="M153" s="518"/>
      <c r="N153" s="518"/>
      <c r="O153" s="518"/>
      <c r="P153" s="518"/>
      <c r="Q153" s="504"/>
      <c r="R153" s="427"/>
    </row>
    <row r="154" spans="3:18">
      <c r="C154" s="355"/>
      <c r="D154" s="356"/>
      <c r="E154" s="335" t="s">
        <v>146</v>
      </c>
      <c r="F154" s="28" t="s">
        <v>207</v>
      </c>
      <c r="G154" s="424">
        <f t="shared" ref="G154:P154" si="79">G151*IF(G153="",G152,G153)</f>
        <v>94211.625521290232</v>
      </c>
      <c r="H154" s="424">
        <f t="shared" si="79"/>
        <v>0</v>
      </c>
      <c r="I154" s="424">
        <f t="shared" si="79"/>
        <v>0</v>
      </c>
      <c r="J154" s="424">
        <f t="shared" si="79"/>
        <v>0</v>
      </c>
      <c r="K154" s="424">
        <f t="shared" si="79"/>
        <v>0</v>
      </c>
      <c r="L154" s="424">
        <f t="shared" si="79"/>
        <v>0</v>
      </c>
      <c r="M154" s="424">
        <f t="shared" si="79"/>
        <v>0</v>
      </c>
      <c r="N154" s="424">
        <f t="shared" si="79"/>
        <v>0</v>
      </c>
      <c r="O154" s="424">
        <f t="shared" si="79"/>
        <v>0</v>
      </c>
      <c r="P154" s="424">
        <f t="shared" si="79"/>
        <v>0</v>
      </c>
      <c r="Q154" s="504"/>
      <c r="R154" s="427"/>
    </row>
    <row r="155" spans="3:18">
      <c r="C155" s="351" t="str">
        <f>'Cost Schedule'!$C$884</f>
        <v>Remove Buried Steel Pipeline &gt;0.25 &lt;=0.5m</v>
      </c>
      <c r="D155" s="352"/>
      <c r="E155" s="335" t="s">
        <v>485</v>
      </c>
      <c r="F155" s="28" t="s">
        <v>211</v>
      </c>
      <c r="G155" s="456"/>
      <c r="H155" s="456"/>
      <c r="I155" s="456"/>
      <c r="J155" s="456"/>
      <c r="K155" s="456"/>
      <c r="L155" s="456"/>
      <c r="M155" s="456"/>
      <c r="N155" s="456"/>
      <c r="O155" s="456"/>
      <c r="P155" s="456"/>
      <c r="Q155" s="504"/>
      <c r="R155" s="427"/>
    </row>
    <row r="156" spans="3:18">
      <c r="C156" s="353"/>
      <c r="D156" s="354"/>
      <c r="E156" s="335" t="s">
        <v>204</v>
      </c>
      <c r="F156" s="28" t="s">
        <v>293</v>
      </c>
      <c r="G156" s="342">
        <f t="shared" ref="G156:P156" si="80">_xlfn.XLOOKUP($C155,Pipelines_names_CS,Pipelines_rates_CS)</f>
        <v>60.91409510127653</v>
      </c>
      <c r="H156" s="342">
        <f t="shared" si="80"/>
        <v>60.91409510127653</v>
      </c>
      <c r="I156" s="342">
        <f t="shared" si="80"/>
        <v>60.91409510127653</v>
      </c>
      <c r="J156" s="342">
        <f t="shared" si="80"/>
        <v>60.91409510127653</v>
      </c>
      <c r="K156" s="342">
        <f t="shared" si="80"/>
        <v>60.91409510127653</v>
      </c>
      <c r="L156" s="342">
        <f t="shared" si="80"/>
        <v>60.91409510127653</v>
      </c>
      <c r="M156" s="342">
        <f t="shared" si="80"/>
        <v>60.91409510127653</v>
      </c>
      <c r="N156" s="342">
        <f t="shared" si="80"/>
        <v>60.91409510127653</v>
      </c>
      <c r="O156" s="342">
        <f t="shared" si="80"/>
        <v>60.91409510127653</v>
      </c>
      <c r="P156" s="342">
        <f t="shared" si="80"/>
        <v>60.91409510127653</v>
      </c>
      <c r="Q156" s="504"/>
      <c r="R156" s="427"/>
    </row>
    <row r="157" spans="3:18">
      <c r="C157" s="353"/>
      <c r="D157" s="354"/>
      <c r="E157" s="335" t="s">
        <v>206</v>
      </c>
      <c r="F157" s="28" t="s">
        <v>293</v>
      </c>
      <c r="G157" s="518"/>
      <c r="H157" s="518"/>
      <c r="I157" s="518"/>
      <c r="J157" s="518"/>
      <c r="K157" s="518"/>
      <c r="L157" s="518"/>
      <c r="M157" s="518"/>
      <c r="N157" s="518"/>
      <c r="O157" s="518"/>
      <c r="P157" s="518"/>
      <c r="Q157" s="504"/>
      <c r="R157" s="427"/>
    </row>
    <row r="158" spans="3:18">
      <c r="C158" s="353"/>
      <c r="D158" s="354"/>
      <c r="E158" s="335" t="s">
        <v>146</v>
      </c>
      <c r="F158" s="28" t="s">
        <v>207</v>
      </c>
      <c r="G158" s="424">
        <f t="shared" ref="G158:P158" si="81">G155*IF(G157="",G156,G157)</f>
        <v>0</v>
      </c>
      <c r="H158" s="424">
        <f t="shared" si="81"/>
        <v>0</v>
      </c>
      <c r="I158" s="424">
        <f t="shared" si="81"/>
        <v>0</v>
      </c>
      <c r="J158" s="424">
        <f t="shared" si="81"/>
        <v>0</v>
      </c>
      <c r="K158" s="424">
        <f t="shared" si="81"/>
        <v>0</v>
      </c>
      <c r="L158" s="424">
        <f t="shared" si="81"/>
        <v>0</v>
      </c>
      <c r="M158" s="424">
        <f t="shared" si="81"/>
        <v>0</v>
      </c>
      <c r="N158" s="424">
        <f t="shared" si="81"/>
        <v>0</v>
      </c>
      <c r="O158" s="424">
        <f t="shared" si="81"/>
        <v>0</v>
      </c>
      <c r="P158" s="424">
        <f t="shared" si="81"/>
        <v>0</v>
      </c>
      <c r="Q158" s="504"/>
      <c r="R158" s="427"/>
    </row>
    <row r="159" spans="3:18" collapsed="1">
      <c r="C159" s="490"/>
      <c r="D159" s="491"/>
      <c r="E159" s="374" t="str">
        <f>C106</f>
        <v>Decommission and remove pipes</v>
      </c>
      <c r="F159" s="62" t="s">
        <v>413</v>
      </c>
      <c r="G159" s="392">
        <f t="shared" ref="G159:P159" si="82">G110+G114+G118+G122+G126+G130+G134+G138+G142+G146+G150+G154+G158</f>
        <v>123177.04955740707</v>
      </c>
      <c r="H159" s="392">
        <f t="shared" si="82"/>
        <v>0</v>
      </c>
      <c r="I159" s="392">
        <f t="shared" si="82"/>
        <v>0</v>
      </c>
      <c r="J159" s="392">
        <f t="shared" si="82"/>
        <v>0</v>
      </c>
      <c r="K159" s="392">
        <f t="shared" si="82"/>
        <v>0</v>
      </c>
      <c r="L159" s="392">
        <f t="shared" si="82"/>
        <v>0</v>
      </c>
      <c r="M159" s="392">
        <f t="shared" si="82"/>
        <v>0</v>
      </c>
      <c r="N159" s="392">
        <f t="shared" si="82"/>
        <v>0</v>
      </c>
      <c r="O159" s="392">
        <f t="shared" si="82"/>
        <v>0</v>
      </c>
      <c r="P159" s="392">
        <f t="shared" si="82"/>
        <v>0</v>
      </c>
      <c r="Q159" s="504"/>
      <c r="R159" s="420"/>
    </row>
    <row r="160" spans="3:18">
      <c r="C160" s="375" t="s">
        <v>734</v>
      </c>
      <c r="D160" s="341" t="s">
        <v>331</v>
      </c>
      <c r="E160" s="335" t="s">
        <v>214</v>
      </c>
      <c r="F160" s="28" t="s">
        <v>299</v>
      </c>
      <c r="G160" s="456">
        <f>0.86+0.22</f>
        <v>1.08</v>
      </c>
      <c r="H160" s="456"/>
      <c r="I160" s="456"/>
      <c r="J160" s="456"/>
      <c r="K160" s="456"/>
      <c r="L160" s="456"/>
      <c r="M160" s="456"/>
      <c r="N160" s="456"/>
      <c r="O160" s="456"/>
      <c r="P160" s="456"/>
      <c r="Q160" s="504"/>
      <c r="R160" s="420"/>
    </row>
    <row r="161" spans="3:18" ht="33.75">
      <c r="C161" s="340"/>
      <c r="D161" s="341"/>
      <c r="E161" s="379" t="s">
        <v>735</v>
      </c>
      <c r="F161" s="28" t="s">
        <v>123</v>
      </c>
      <c r="G161" s="503" t="s">
        <v>736</v>
      </c>
      <c r="H161" s="503" t="s">
        <v>737</v>
      </c>
      <c r="I161" s="503" t="s">
        <v>737</v>
      </c>
      <c r="J161" s="503" t="s">
        <v>737</v>
      </c>
      <c r="K161" s="503" t="s">
        <v>737</v>
      </c>
      <c r="L161" s="503" t="s">
        <v>737</v>
      </c>
      <c r="M161" s="503" t="s">
        <v>737</v>
      </c>
      <c r="N161" s="503" t="s">
        <v>737</v>
      </c>
      <c r="O161" s="503" t="s">
        <v>737</v>
      </c>
      <c r="P161" s="503" t="s">
        <v>737</v>
      </c>
      <c r="Q161" s="397"/>
      <c r="R161" s="420"/>
    </row>
    <row r="162" spans="3:18">
      <c r="C162" s="340"/>
      <c r="D162" s="341"/>
      <c r="E162" s="379" t="s">
        <v>227</v>
      </c>
      <c r="F162" s="28" t="s">
        <v>329</v>
      </c>
      <c r="G162" s="342">
        <f t="shared" ref="G162:P162" si="83">_xlfn.XLOOKUP(G161,Dozer_shape_doze_for_drainage_names_CS,Dozer_shape_doze_for_drainage_rates_CS)</f>
        <v>4384.0589414240003</v>
      </c>
      <c r="H162" s="342">
        <f t="shared" si="83"/>
        <v>6726.2274169792872</v>
      </c>
      <c r="I162" s="342">
        <f t="shared" si="83"/>
        <v>6726.2274169792872</v>
      </c>
      <c r="J162" s="342">
        <f t="shared" si="83"/>
        <v>6726.2274169792872</v>
      </c>
      <c r="K162" s="342">
        <f t="shared" si="83"/>
        <v>6726.2274169792872</v>
      </c>
      <c r="L162" s="342">
        <f t="shared" si="83"/>
        <v>6726.2274169792872</v>
      </c>
      <c r="M162" s="342">
        <f t="shared" si="83"/>
        <v>6726.2274169792872</v>
      </c>
      <c r="N162" s="342">
        <f t="shared" si="83"/>
        <v>6726.2274169792872</v>
      </c>
      <c r="O162" s="342">
        <f t="shared" si="83"/>
        <v>6726.2274169792872</v>
      </c>
      <c r="P162" s="342">
        <f t="shared" si="83"/>
        <v>6726.2274169792872</v>
      </c>
      <c r="Q162" s="397"/>
      <c r="R162" s="427"/>
    </row>
    <row r="163" spans="3:18">
      <c r="C163" s="340"/>
      <c r="D163" s="341"/>
      <c r="E163" s="379" t="s">
        <v>229</v>
      </c>
      <c r="F163" s="28" t="s">
        <v>329</v>
      </c>
      <c r="G163" s="414"/>
      <c r="H163" s="414"/>
      <c r="I163" s="414"/>
      <c r="J163" s="414"/>
      <c r="K163" s="414"/>
      <c r="L163" s="414"/>
      <c r="M163" s="414"/>
      <c r="N163" s="414"/>
      <c r="O163" s="414"/>
      <c r="P163" s="414"/>
      <c r="Q163" s="397"/>
      <c r="R163" s="420"/>
    </row>
    <row r="164" spans="3:18">
      <c r="C164" s="343"/>
      <c r="D164" s="331"/>
      <c r="E164" s="384" t="s">
        <v>146</v>
      </c>
      <c r="F164" s="28" t="s">
        <v>207</v>
      </c>
      <c r="G164" s="492">
        <f>IF(G163="",G162,G163)*G160</f>
        <v>4734.7836567379209</v>
      </c>
      <c r="H164" s="492">
        <f t="shared" ref="H164:P164" si="84">IF(H163="",H162,H163)*H160</f>
        <v>0</v>
      </c>
      <c r="I164" s="492">
        <f t="shared" si="84"/>
        <v>0</v>
      </c>
      <c r="J164" s="492">
        <f t="shared" si="84"/>
        <v>0</v>
      </c>
      <c r="K164" s="492">
        <f t="shared" si="84"/>
        <v>0</v>
      </c>
      <c r="L164" s="492">
        <f t="shared" si="84"/>
        <v>0</v>
      </c>
      <c r="M164" s="492">
        <f t="shared" si="84"/>
        <v>0</v>
      </c>
      <c r="N164" s="492">
        <f t="shared" si="84"/>
        <v>0</v>
      </c>
      <c r="O164" s="492">
        <f t="shared" si="84"/>
        <v>0</v>
      </c>
      <c r="P164" s="492">
        <f t="shared" si="84"/>
        <v>0</v>
      </c>
      <c r="Q164" s="397"/>
      <c r="R164" s="420"/>
    </row>
    <row r="165" spans="3:18">
      <c r="C165" s="338" t="s">
        <v>628</v>
      </c>
      <c r="D165" s="341" t="s">
        <v>331</v>
      </c>
      <c r="E165" s="379" t="s">
        <v>738</v>
      </c>
      <c r="F165" s="28" t="s">
        <v>123</v>
      </c>
      <c r="G165" s="503" t="s">
        <v>621</v>
      </c>
      <c r="H165" s="503" t="s">
        <v>621</v>
      </c>
      <c r="I165" s="503" t="s">
        <v>621</v>
      </c>
      <c r="J165" s="503" t="s">
        <v>621</v>
      </c>
      <c r="K165" s="503" t="s">
        <v>621</v>
      </c>
      <c r="L165" s="503" t="s">
        <v>621</v>
      </c>
      <c r="M165" s="503" t="s">
        <v>621</v>
      </c>
      <c r="N165" s="503" t="s">
        <v>621</v>
      </c>
      <c r="O165" s="503" t="s">
        <v>621</v>
      </c>
      <c r="P165" s="503" t="s">
        <v>621</v>
      </c>
      <c r="Q165" s="397"/>
      <c r="R165" s="420"/>
    </row>
    <row r="166" spans="3:18">
      <c r="C166" s="340"/>
      <c r="D166" s="341"/>
      <c r="E166" s="379" t="s">
        <v>227</v>
      </c>
      <c r="F166" s="28" t="s">
        <v>329</v>
      </c>
      <c r="G166" s="342">
        <f t="shared" ref="G166:P166" si="85">_xlfn.XLOOKUP(G165,Grader_trim_names_CS,Grader_trim_rates_CS)</f>
        <v>241.70290684367134</v>
      </c>
      <c r="H166" s="342">
        <f t="shared" si="85"/>
        <v>241.70290684367134</v>
      </c>
      <c r="I166" s="342">
        <f t="shared" si="85"/>
        <v>241.70290684367134</v>
      </c>
      <c r="J166" s="342">
        <f t="shared" si="85"/>
        <v>241.70290684367134</v>
      </c>
      <c r="K166" s="342">
        <f t="shared" si="85"/>
        <v>241.70290684367134</v>
      </c>
      <c r="L166" s="342">
        <f t="shared" si="85"/>
        <v>241.70290684367134</v>
      </c>
      <c r="M166" s="342">
        <f t="shared" si="85"/>
        <v>241.70290684367134</v>
      </c>
      <c r="N166" s="342">
        <f t="shared" si="85"/>
        <v>241.70290684367134</v>
      </c>
      <c r="O166" s="342">
        <f t="shared" si="85"/>
        <v>241.70290684367134</v>
      </c>
      <c r="P166" s="342">
        <f t="shared" si="85"/>
        <v>241.70290684367134</v>
      </c>
      <c r="Q166" s="397"/>
      <c r="R166" s="427"/>
    </row>
    <row r="167" spans="3:18">
      <c r="C167" s="340"/>
      <c r="D167" s="341"/>
      <c r="E167" s="379" t="s">
        <v>229</v>
      </c>
      <c r="F167" s="28" t="s">
        <v>329</v>
      </c>
      <c r="G167" s="414"/>
      <c r="H167" s="414"/>
      <c r="I167" s="414"/>
      <c r="J167" s="414"/>
      <c r="K167" s="414"/>
      <c r="L167" s="414"/>
      <c r="M167" s="414"/>
      <c r="N167" s="414"/>
      <c r="O167" s="414"/>
      <c r="P167" s="414"/>
      <c r="Q167" s="397"/>
      <c r="R167" s="420"/>
    </row>
    <row r="168" spans="3:18">
      <c r="C168" s="343"/>
      <c r="D168" s="331"/>
      <c r="E168" s="384" t="s">
        <v>146</v>
      </c>
      <c r="F168" s="28" t="s">
        <v>207</v>
      </c>
      <c r="G168" s="492">
        <f>IF(G167="",G166,G167)*G160</f>
        <v>261.03913939116507</v>
      </c>
      <c r="H168" s="492">
        <f t="shared" ref="H168:P168" si="86">IF(H167="",H166,H167)*H160</f>
        <v>0</v>
      </c>
      <c r="I168" s="492">
        <f t="shared" si="86"/>
        <v>0</v>
      </c>
      <c r="J168" s="492">
        <f t="shared" si="86"/>
        <v>0</v>
      </c>
      <c r="K168" s="492">
        <f t="shared" si="86"/>
        <v>0</v>
      </c>
      <c r="L168" s="492">
        <f t="shared" si="86"/>
        <v>0</v>
      </c>
      <c r="M168" s="492">
        <f t="shared" si="86"/>
        <v>0</v>
      </c>
      <c r="N168" s="492">
        <f t="shared" si="86"/>
        <v>0</v>
      </c>
      <c r="O168" s="492">
        <f t="shared" si="86"/>
        <v>0</v>
      </c>
      <c r="P168" s="492">
        <f t="shared" si="86"/>
        <v>0</v>
      </c>
      <c r="Q168" s="397"/>
      <c r="R168" s="420"/>
    </row>
    <row r="169" spans="3:18">
      <c r="C169" s="372"/>
      <c r="D169" s="373"/>
      <c r="E169" s="374" t="str">
        <f>C160</f>
        <v>Reshape and Trim Land</v>
      </c>
      <c r="F169" s="62" t="s">
        <v>207</v>
      </c>
      <c r="G169" s="392">
        <f>G164+G168</f>
        <v>4995.8227961290859</v>
      </c>
      <c r="H169" s="392">
        <f t="shared" ref="H169:P169" si="87">H164+H168</f>
        <v>0</v>
      </c>
      <c r="I169" s="392">
        <f t="shared" si="87"/>
        <v>0</v>
      </c>
      <c r="J169" s="392">
        <f t="shared" si="87"/>
        <v>0</v>
      </c>
      <c r="K169" s="392">
        <f t="shared" si="87"/>
        <v>0</v>
      </c>
      <c r="L169" s="392">
        <f t="shared" si="87"/>
        <v>0</v>
      </c>
      <c r="M169" s="392">
        <f t="shared" si="87"/>
        <v>0</v>
      </c>
      <c r="N169" s="392">
        <f t="shared" si="87"/>
        <v>0</v>
      </c>
      <c r="O169" s="392">
        <f t="shared" si="87"/>
        <v>0</v>
      </c>
      <c r="P169" s="392">
        <f t="shared" si="87"/>
        <v>0</v>
      </c>
      <c r="Q169" s="397"/>
      <c r="R169" s="420"/>
    </row>
    <row r="170" spans="3:18">
      <c r="C170" s="375" t="s">
        <v>296</v>
      </c>
      <c r="D170" s="376" t="str">
        <f t="shared" ref="D170" si="88">Growth_media</f>
        <v>Growth media</v>
      </c>
      <c r="E170" s="346" t="s">
        <v>298</v>
      </c>
      <c r="F170" s="28" t="s">
        <v>299</v>
      </c>
      <c r="G170" s="411"/>
      <c r="H170" s="411"/>
      <c r="I170" s="411"/>
      <c r="J170" s="411"/>
      <c r="K170" s="411"/>
      <c r="L170" s="411"/>
      <c r="M170" s="411"/>
      <c r="N170" s="411"/>
      <c r="O170" s="411"/>
      <c r="P170" s="411"/>
      <c r="Q170" s="504"/>
      <c r="R170" s="427"/>
    </row>
    <row r="171" spans="3:18">
      <c r="C171" s="340"/>
      <c r="D171" s="371"/>
      <c r="E171" s="346" t="s">
        <v>300</v>
      </c>
      <c r="F171" s="28" t="s">
        <v>299</v>
      </c>
      <c r="G171" s="411"/>
      <c r="H171" s="411"/>
      <c r="I171" s="411"/>
      <c r="J171" s="411"/>
      <c r="K171" s="411"/>
      <c r="L171" s="411"/>
      <c r="M171" s="411"/>
      <c r="N171" s="411"/>
      <c r="O171" s="411"/>
      <c r="P171" s="411"/>
      <c r="Q171" s="504"/>
      <c r="R171" s="427"/>
    </row>
    <row r="172" spans="3:18">
      <c r="C172" s="340"/>
      <c r="D172" s="371"/>
      <c r="E172" s="346" t="s">
        <v>301</v>
      </c>
      <c r="F172" s="28" t="s">
        <v>299</v>
      </c>
      <c r="G172" s="411"/>
      <c r="H172" s="411"/>
      <c r="I172" s="411"/>
      <c r="J172" s="411"/>
      <c r="K172" s="411"/>
      <c r="L172" s="411"/>
      <c r="M172" s="411"/>
      <c r="N172" s="411"/>
      <c r="O172" s="411"/>
      <c r="P172" s="411"/>
      <c r="Q172" s="504"/>
      <c r="R172" s="427"/>
    </row>
    <row r="173" spans="3:18">
      <c r="C173" s="340"/>
      <c r="D173" s="371"/>
      <c r="E173" s="346" t="s">
        <v>302</v>
      </c>
      <c r="F173" s="28" t="s">
        <v>299</v>
      </c>
      <c r="G173" s="411"/>
      <c r="H173" s="411"/>
      <c r="I173" s="411"/>
      <c r="J173" s="411"/>
      <c r="K173" s="411"/>
      <c r="L173" s="411"/>
      <c r="M173" s="411"/>
      <c r="N173" s="411"/>
      <c r="O173" s="411"/>
      <c r="P173" s="411"/>
      <c r="Q173" s="504"/>
      <c r="R173" s="427"/>
    </row>
    <row r="174" spans="3:18">
      <c r="C174" s="340"/>
      <c r="D174" s="371"/>
      <c r="E174" s="346" t="s">
        <v>303</v>
      </c>
      <c r="F174" s="28" t="s">
        <v>299</v>
      </c>
      <c r="G174" s="70">
        <f>SUM(G170:G173)</f>
        <v>0</v>
      </c>
      <c r="H174" s="70">
        <f t="shared" ref="H174:P174" si="89">SUM(H170:H173)</f>
        <v>0</v>
      </c>
      <c r="I174" s="70">
        <f t="shared" si="89"/>
        <v>0</v>
      </c>
      <c r="J174" s="70">
        <f t="shared" si="89"/>
        <v>0</v>
      </c>
      <c r="K174" s="70">
        <f t="shared" si="89"/>
        <v>0</v>
      </c>
      <c r="L174" s="70">
        <f t="shared" si="89"/>
        <v>0</v>
      </c>
      <c r="M174" s="70">
        <f t="shared" si="89"/>
        <v>0</v>
      </c>
      <c r="N174" s="70">
        <f t="shared" si="89"/>
        <v>0</v>
      </c>
      <c r="O174" s="70">
        <f t="shared" si="89"/>
        <v>0</v>
      </c>
      <c r="P174" s="70">
        <f t="shared" si="89"/>
        <v>0</v>
      </c>
      <c r="Q174" s="504"/>
      <c r="R174" s="427"/>
    </row>
    <row r="175" spans="3:18">
      <c r="C175" s="340"/>
      <c r="D175" s="371"/>
      <c r="E175" s="346" t="s">
        <v>304</v>
      </c>
      <c r="F175" s="28" t="s">
        <v>211</v>
      </c>
      <c r="G175" s="70">
        <f t="shared" ref="G175:P175" si="90">Haul_roads_track_rail_growth_media_thickness/Conv_mm_in_metres</f>
        <v>0.15</v>
      </c>
      <c r="H175" s="70">
        <f t="shared" si="90"/>
        <v>0.15</v>
      </c>
      <c r="I175" s="70">
        <f t="shared" si="90"/>
        <v>0.15</v>
      </c>
      <c r="J175" s="70">
        <f t="shared" si="90"/>
        <v>0.15</v>
      </c>
      <c r="K175" s="70">
        <f t="shared" si="90"/>
        <v>0.15</v>
      </c>
      <c r="L175" s="70">
        <f t="shared" si="90"/>
        <v>0.15</v>
      </c>
      <c r="M175" s="70">
        <f t="shared" si="90"/>
        <v>0.15</v>
      </c>
      <c r="N175" s="70">
        <f t="shared" si="90"/>
        <v>0.15</v>
      </c>
      <c r="O175" s="70">
        <f t="shared" si="90"/>
        <v>0.15</v>
      </c>
      <c r="P175" s="70">
        <f t="shared" si="90"/>
        <v>0.15</v>
      </c>
      <c r="Q175" s="504"/>
      <c r="R175" s="420"/>
    </row>
    <row r="176" spans="3:18">
      <c r="C176" s="340"/>
      <c r="D176" s="371"/>
      <c r="E176" s="346" t="s">
        <v>305</v>
      </c>
      <c r="F176" s="28" t="s">
        <v>211</v>
      </c>
      <c r="G176" s="411"/>
      <c r="H176" s="411"/>
      <c r="I176" s="411"/>
      <c r="J176" s="411"/>
      <c r="K176" s="411"/>
      <c r="L176" s="411"/>
      <c r="M176" s="411"/>
      <c r="N176" s="411"/>
      <c r="O176" s="411"/>
      <c r="P176" s="411"/>
      <c r="Q176" s="504"/>
      <c r="R176" s="420"/>
    </row>
    <row r="177" spans="3:18">
      <c r="C177" s="340"/>
      <c r="D177" s="371"/>
      <c r="E177" s="346" t="s">
        <v>306</v>
      </c>
      <c r="F177" s="28" t="s">
        <v>211</v>
      </c>
      <c r="G177" s="70">
        <f>IF(G176="",G175,G176)</f>
        <v>0.15</v>
      </c>
      <c r="H177" s="70">
        <f t="shared" ref="H177:P177" si="91">IF(H176="",H175,H176)</f>
        <v>0.15</v>
      </c>
      <c r="I177" s="70">
        <f t="shared" si="91"/>
        <v>0.15</v>
      </c>
      <c r="J177" s="70">
        <f t="shared" si="91"/>
        <v>0.15</v>
      </c>
      <c r="K177" s="70">
        <f t="shared" si="91"/>
        <v>0.15</v>
      </c>
      <c r="L177" s="70">
        <f t="shared" si="91"/>
        <v>0.15</v>
      </c>
      <c r="M177" s="70">
        <f t="shared" si="91"/>
        <v>0.15</v>
      </c>
      <c r="N177" s="70">
        <f t="shared" si="91"/>
        <v>0.15</v>
      </c>
      <c r="O177" s="70">
        <f t="shared" si="91"/>
        <v>0.15</v>
      </c>
      <c r="P177" s="70">
        <f t="shared" si="91"/>
        <v>0.15</v>
      </c>
      <c r="Q177" s="504"/>
      <c r="R177" s="420"/>
    </row>
    <row r="178" spans="3:18">
      <c r="C178" s="340"/>
      <c r="D178" s="371"/>
      <c r="E178" s="346" t="s">
        <v>307</v>
      </c>
      <c r="F178" s="28" t="s">
        <v>219</v>
      </c>
      <c r="G178" s="367">
        <f t="shared" ref="G178:P178" si="92">G174*Conv_sqm_ha*G177</f>
        <v>0</v>
      </c>
      <c r="H178" s="367">
        <f t="shared" si="92"/>
        <v>0</v>
      </c>
      <c r="I178" s="367">
        <f t="shared" si="92"/>
        <v>0</v>
      </c>
      <c r="J178" s="367">
        <f t="shared" si="92"/>
        <v>0</v>
      </c>
      <c r="K178" s="367">
        <f t="shared" si="92"/>
        <v>0</v>
      </c>
      <c r="L178" s="367">
        <f t="shared" si="92"/>
        <v>0</v>
      </c>
      <c r="M178" s="367">
        <f t="shared" si="92"/>
        <v>0</v>
      </c>
      <c r="N178" s="367">
        <f t="shared" si="92"/>
        <v>0</v>
      </c>
      <c r="O178" s="367">
        <f t="shared" si="92"/>
        <v>0</v>
      </c>
      <c r="P178" s="367">
        <f t="shared" si="92"/>
        <v>0</v>
      </c>
      <c r="Q178" s="504"/>
      <c r="R178" s="427"/>
    </row>
    <row r="179" spans="3:18">
      <c r="C179" s="340"/>
      <c r="D179" s="371"/>
      <c r="E179" s="346" t="s">
        <v>539</v>
      </c>
      <c r="F179" s="28" t="s">
        <v>219</v>
      </c>
      <c r="G179" s="463"/>
      <c r="H179" s="463"/>
      <c r="I179" s="463"/>
      <c r="J179" s="463"/>
      <c r="K179" s="463"/>
      <c r="L179" s="463"/>
      <c r="M179" s="463"/>
      <c r="N179" s="463"/>
      <c r="O179" s="463"/>
      <c r="P179" s="463"/>
      <c r="Q179" s="504"/>
      <c r="R179" s="427"/>
    </row>
    <row r="180" spans="3:18">
      <c r="C180" s="340"/>
      <c r="D180" s="371"/>
      <c r="E180" s="346" t="s">
        <v>540</v>
      </c>
      <c r="F180" s="28" t="s">
        <v>219</v>
      </c>
      <c r="G180" s="367">
        <f>G178-G179</f>
        <v>0</v>
      </c>
      <c r="H180" s="367">
        <f t="shared" ref="H180:P180" si="93">H178-H179</f>
        <v>0</v>
      </c>
      <c r="I180" s="367">
        <f t="shared" si="93"/>
        <v>0</v>
      </c>
      <c r="J180" s="367">
        <f t="shared" si="93"/>
        <v>0</v>
      </c>
      <c r="K180" s="367">
        <f t="shared" si="93"/>
        <v>0</v>
      </c>
      <c r="L180" s="367">
        <f t="shared" si="93"/>
        <v>0</v>
      </c>
      <c r="M180" s="367">
        <f t="shared" si="93"/>
        <v>0</v>
      </c>
      <c r="N180" s="367">
        <f t="shared" si="93"/>
        <v>0</v>
      </c>
      <c r="O180" s="367">
        <f t="shared" si="93"/>
        <v>0</v>
      </c>
      <c r="P180" s="367">
        <f t="shared" si="93"/>
        <v>0</v>
      </c>
      <c r="Q180" s="504"/>
      <c r="R180" s="427"/>
    </row>
    <row r="181" spans="3:18">
      <c r="C181" s="338" t="s">
        <v>541</v>
      </c>
      <c r="D181" s="376" t="s">
        <v>542</v>
      </c>
      <c r="E181" s="346" t="s">
        <v>543</v>
      </c>
      <c r="F181" s="28" t="s">
        <v>123</v>
      </c>
      <c r="G181" s="412" t="s">
        <v>544</v>
      </c>
      <c r="H181" s="412" t="s">
        <v>545</v>
      </c>
      <c r="I181" s="412" t="s">
        <v>545</v>
      </c>
      <c r="J181" s="412" t="s">
        <v>545</v>
      </c>
      <c r="K181" s="412" t="s">
        <v>545</v>
      </c>
      <c r="L181" s="412" t="s">
        <v>545</v>
      </c>
      <c r="M181" s="412" t="s">
        <v>545</v>
      </c>
      <c r="N181" s="412" t="s">
        <v>545</v>
      </c>
      <c r="O181" s="412" t="s">
        <v>545</v>
      </c>
      <c r="P181" s="412" t="s">
        <v>545</v>
      </c>
      <c r="Q181" s="504"/>
      <c r="R181" s="427"/>
    </row>
    <row r="182" spans="3:18">
      <c r="C182" s="340"/>
      <c r="D182" s="371"/>
      <c r="E182" s="346" t="s">
        <v>546</v>
      </c>
      <c r="F182" s="28" t="s">
        <v>253</v>
      </c>
      <c r="G182" s="342">
        <f t="shared" ref="G182:P182" si="94">_xlfn.XLOOKUP(G181,Long_haul_soil_amend_names_volume_CS,Long_haul_soil_amend_rates_volume_CS)</f>
        <v>0.4231091685384164</v>
      </c>
      <c r="H182" s="342">
        <f t="shared" si="94"/>
        <v>0.22675068293571296</v>
      </c>
      <c r="I182" s="342">
        <f t="shared" si="94"/>
        <v>0.22675068293571296</v>
      </c>
      <c r="J182" s="342">
        <f t="shared" si="94"/>
        <v>0.22675068293571296</v>
      </c>
      <c r="K182" s="342">
        <f t="shared" si="94"/>
        <v>0.22675068293571296</v>
      </c>
      <c r="L182" s="342">
        <f t="shared" si="94"/>
        <v>0.22675068293571296</v>
      </c>
      <c r="M182" s="342">
        <f t="shared" si="94"/>
        <v>0.22675068293571296</v>
      </c>
      <c r="N182" s="342">
        <f t="shared" si="94"/>
        <v>0.22675068293571296</v>
      </c>
      <c r="O182" s="342">
        <f t="shared" si="94"/>
        <v>0.22675068293571296</v>
      </c>
      <c r="P182" s="342">
        <f t="shared" si="94"/>
        <v>0.22675068293571296</v>
      </c>
      <c r="Q182" s="504"/>
      <c r="R182" s="427"/>
    </row>
    <row r="183" spans="3:18" ht="22.5">
      <c r="C183" s="340"/>
      <c r="D183" s="371"/>
      <c r="E183" s="336" t="s">
        <v>547</v>
      </c>
      <c r="F183" s="28" t="s">
        <v>253</v>
      </c>
      <c r="G183" s="414"/>
      <c r="H183" s="414"/>
      <c r="I183" s="414"/>
      <c r="J183" s="414"/>
      <c r="K183" s="414"/>
      <c r="L183" s="414"/>
      <c r="M183" s="414"/>
      <c r="N183" s="414"/>
      <c r="O183" s="414"/>
      <c r="P183" s="414"/>
      <c r="Q183" s="504"/>
      <c r="R183" s="427"/>
    </row>
    <row r="184" spans="3:18">
      <c r="C184" s="340"/>
      <c r="D184" s="371"/>
      <c r="E184" s="346" t="s">
        <v>548</v>
      </c>
      <c r="F184" s="28" t="s">
        <v>207</v>
      </c>
      <c r="G184" s="378">
        <f t="shared" ref="G184:P184" si="95">IF(G183="",G182,G183)*G180*_xlfn.XLOOKUP(G181,Long_haul_distance_names_L,Long_haul_distances_average_L)</f>
        <v>0</v>
      </c>
      <c r="H184" s="378">
        <f t="shared" si="95"/>
        <v>0</v>
      </c>
      <c r="I184" s="378">
        <f t="shared" si="95"/>
        <v>0</v>
      </c>
      <c r="J184" s="378">
        <f t="shared" si="95"/>
        <v>0</v>
      </c>
      <c r="K184" s="378">
        <f t="shared" si="95"/>
        <v>0</v>
      </c>
      <c r="L184" s="378">
        <f t="shared" si="95"/>
        <v>0</v>
      </c>
      <c r="M184" s="378">
        <f t="shared" si="95"/>
        <v>0</v>
      </c>
      <c r="N184" s="378">
        <f t="shared" si="95"/>
        <v>0</v>
      </c>
      <c r="O184" s="378">
        <f t="shared" si="95"/>
        <v>0</v>
      </c>
      <c r="P184" s="378">
        <f t="shared" si="95"/>
        <v>0</v>
      </c>
      <c r="Q184" s="504"/>
      <c r="R184" s="427"/>
    </row>
    <row r="185" spans="3:18">
      <c r="C185" s="340"/>
      <c r="D185" s="371"/>
      <c r="E185" s="346" t="s">
        <v>311</v>
      </c>
      <c r="F185" s="28" t="s">
        <v>123</v>
      </c>
      <c r="G185" s="412" t="s">
        <v>549</v>
      </c>
      <c r="H185" s="412" t="s">
        <v>550</v>
      </c>
      <c r="I185" s="412" t="s">
        <v>549</v>
      </c>
      <c r="J185" s="412" t="s">
        <v>549</v>
      </c>
      <c r="K185" s="412" t="s">
        <v>549</v>
      </c>
      <c r="L185" s="412" t="s">
        <v>549</v>
      </c>
      <c r="M185" s="412" t="s">
        <v>549</v>
      </c>
      <c r="N185" s="412" t="s">
        <v>549</v>
      </c>
      <c r="O185" s="412" t="s">
        <v>549</v>
      </c>
      <c r="P185" s="412" t="s">
        <v>549</v>
      </c>
      <c r="Q185" s="504"/>
      <c r="R185" s="427"/>
    </row>
    <row r="186" spans="3:18">
      <c r="C186" s="340"/>
      <c r="D186" s="371"/>
      <c r="E186" s="346" t="s">
        <v>551</v>
      </c>
      <c r="F186" s="28" t="s">
        <v>241</v>
      </c>
      <c r="G186" s="342">
        <f t="shared" ref="G186:P186" si="96">IF(G185=Growth_media,Growth_media_purchase_rate*Growth_media_soil_density,VENM_backfill_buy_R)</f>
        <v>128.79999999999998</v>
      </c>
      <c r="H186" s="342">
        <f t="shared" si="96"/>
        <v>76.490890000000007</v>
      </c>
      <c r="I186" s="342">
        <f t="shared" si="96"/>
        <v>128.79999999999998</v>
      </c>
      <c r="J186" s="342">
        <f t="shared" si="96"/>
        <v>128.79999999999998</v>
      </c>
      <c r="K186" s="342">
        <f t="shared" si="96"/>
        <v>128.79999999999998</v>
      </c>
      <c r="L186" s="342">
        <f t="shared" si="96"/>
        <v>128.79999999999998</v>
      </c>
      <c r="M186" s="342">
        <f t="shared" si="96"/>
        <v>128.79999999999998</v>
      </c>
      <c r="N186" s="342">
        <f t="shared" si="96"/>
        <v>128.79999999999998</v>
      </c>
      <c r="O186" s="342">
        <f t="shared" si="96"/>
        <v>128.79999999999998</v>
      </c>
      <c r="P186" s="342">
        <f t="shared" si="96"/>
        <v>128.79999999999998</v>
      </c>
      <c r="Q186" s="504"/>
      <c r="R186" s="427"/>
    </row>
    <row r="187" spans="3:18" ht="22.5">
      <c r="C187" s="340"/>
      <c r="D187" s="371"/>
      <c r="E187" s="336" t="s">
        <v>552</v>
      </c>
      <c r="F187" s="28" t="s">
        <v>241</v>
      </c>
      <c r="G187" s="414"/>
      <c r="H187" s="414"/>
      <c r="I187" s="414"/>
      <c r="J187" s="414"/>
      <c r="K187" s="414"/>
      <c r="L187" s="414"/>
      <c r="M187" s="414"/>
      <c r="N187" s="414"/>
      <c r="O187" s="414"/>
      <c r="P187" s="414"/>
      <c r="Q187" s="504"/>
      <c r="R187" s="420"/>
    </row>
    <row r="188" spans="3:18">
      <c r="C188" s="340"/>
      <c r="D188" s="371"/>
      <c r="E188" s="346" t="s">
        <v>548</v>
      </c>
      <c r="F188" s="28" t="s">
        <v>207</v>
      </c>
      <c r="G188" s="378">
        <f>IF(G187="",G186,G187)*G180</f>
        <v>0</v>
      </c>
      <c r="H188" s="378">
        <f t="shared" ref="H188:P188" si="97">IF(H187="",H186,H187)*H180</f>
        <v>0</v>
      </c>
      <c r="I188" s="378">
        <f t="shared" si="97"/>
        <v>0</v>
      </c>
      <c r="J188" s="378">
        <f t="shared" si="97"/>
        <v>0</v>
      </c>
      <c r="K188" s="378">
        <f t="shared" si="97"/>
        <v>0</v>
      </c>
      <c r="L188" s="378">
        <f t="shared" si="97"/>
        <v>0</v>
      </c>
      <c r="M188" s="378">
        <f t="shared" si="97"/>
        <v>0</v>
      </c>
      <c r="N188" s="378">
        <f t="shared" si="97"/>
        <v>0</v>
      </c>
      <c r="O188" s="378">
        <f t="shared" si="97"/>
        <v>0</v>
      </c>
      <c r="P188" s="378">
        <f t="shared" si="97"/>
        <v>0</v>
      </c>
      <c r="Q188" s="504"/>
      <c r="R188" s="427"/>
    </row>
    <row r="189" spans="3:18" ht="33.75">
      <c r="C189" s="338" t="s">
        <v>541</v>
      </c>
      <c r="D189" s="376" t="s">
        <v>553</v>
      </c>
      <c r="E189" s="442" t="s">
        <v>554</v>
      </c>
      <c r="F189" s="28" t="s">
        <v>123</v>
      </c>
      <c r="G189" s="461" t="s">
        <v>309</v>
      </c>
      <c r="H189" s="461" t="s">
        <v>555</v>
      </c>
      <c r="I189" s="461" t="s">
        <v>555</v>
      </c>
      <c r="J189" s="461" t="s">
        <v>555</v>
      </c>
      <c r="K189" s="461" t="s">
        <v>555</v>
      </c>
      <c r="L189" s="461" t="s">
        <v>555</v>
      </c>
      <c r="M189" s="461" t="s">
        <v>555</v>
      </c>
      <c r="N189" s="461" t="s">
        <v>555</v>
      </c>
      <c r="O189" s="461" t="s">
        <v>555</v>
      </c>
      <c r="P189" s="461" t="s">
        <v>555</v>
      </c>
      <c r="Q189" s="504"/>
      <c r="R189" s="420"/>
    </row>
    <row r="190" spans="3:18">
      <c r="C190" s="340"/>
      <c r="D190" s="371"/>
      <c r="E190" s="346" t="s">
        <v>227</v>
      </c>
      <c r="F190" s="28" t="s">
        <v>241</v>
      </c>
      <c r="G190" s="342">
        <f t="shared" ref="G190:P190" si="98">_xlfn.XLOOKUP(G189,Load_haul_soil_names_CS,Load_haul_soil_rates_CS)</f>
        <v>4.7790031332219423</v>
      </c>
      <c r="H190" s="342">
        <f t="shared" si="98"/>
        <v>5.5737090155748836</v>
      </c>
      <c r="I190" s="342">
        <f t="shared" si="98"/>
        <v>5.5737090155748836</v>
      </c>
      <c r="J190" s="342">
        <f t="shared" si="98"/>
        <v>5.5737090155748836</v>
      </c>
      <c r="K190" s="342">
        <f t="shared" si="98"/>
        <v>5.5737090155748836</v>
      </c>
      <c r="L190" s="342">
        <f t="shared" si="98"/>
        <v>5.5737090155748836</v>
      </c>
      <c r="M190" s="342">
        <f t="shared" si="98"/>
        <v>5.5737090155748836</v>
      </c>
      <c r="N190" s="342">
        <f t="shared" si="98"/>
        <v>5.5737090155748836</v>
      </c>
      <c r="O190" s="342">
        <f t="shared" si="98"/>
        <v>5.5737090155748836</v>
      </c>
      <c r="P190" s="342">
        <f t="shared" si="98"/>
        <v>5.5737090155748836</v>
      </c>
      <c r="Q190" s="504"/>
      <c r="R190" s="427"/>
    </row>
    <row r="191" spans="3:18">
      <c r="C191" s="340"/>
      <c r="D191" s="371"/>
      <c r="E191" s="384" t="s">
        <v>229</v>
      </c>
      <c r="F191" s="28" t="s">
        <v>241</v>
      </c>
      <c r="G191" s="414"/>
      <c r="H191" s="414"/>
      <c r="I191" s="414"/>
      <c r="J191" s="414"/>
      <c r="K191" s="414"/>
      <c r="L191" s="414"/>
      <c r="M191" s="414"/>
      <c r="N191" s="414"/>
      <c r="O191" s="414"/>
      <c r="P191" s="414"/>
      <c r="Q191" s="504"/>
      <c r="R191" s="420"/>
    </row>
    <row r="192" spans="3:18">
      <c r="C192" s="340"/>
      <c r="D192" s="371"/>
      <c r="E192" s="346" t="s">
        <v>146</v>
      </c>
      <c r="F192" s="28" t="s">
        <v>207</v>
      </c>
      <c r="G192" s="443">
        <f t="shared" ref="G192:P192" si="99">IF(G191="",G190,G191)*G178</f>
        <v>0</v>
      </c>
      <c r="H192" s="443">
        <f t="shared" si="99"/>
        <v>0</v>
      </c>
      <c r="I192" s="443">
        <f t="shared" si="99"/>
        <v>0</v>
      </c>
      <c r="J192" s="443">
        <f t="shared" si="99"/>
        <v>0</v>
      </c>
      <c r="K192" s="443">
        <f t="shared" si="99"/>
        <v>0</v>
      </c>
      <c r="L192" s="443">
        <f t="shared" si="99"/>
        <v>0</v>
      </c>
      <c r="M192" s="443">
        <f t="shared" si="99"/>
        <v>0</v>
      </c>
      <c r="N192" s="443">
        <f t="shared" si="99"/>
        <v>0</v>
      </c>
      <c r="O192" s="443">
        <f t="shared" si="99"/>
        <v>0</v>
      </c>
      <c r="P192" s="443">
        <f t="shared" si="99"/>
        <v>0</v>
      </c>
      <c r="Q192" s="504"/>
      <c r="R192" s="420"/>
    </row>
    <row r="193" spans="3:18">
      <c r="C193" s="372"/>
      <c r="D193" s="373"/>
      <c r="E193" s="374" t="str">
        <f>C170</f>
        <v>Source and apply growth media</v>
      </c>
      <c r="F193" s="72"/>
      <c r="G193" s="392">
        <f>G184+G188+G192</f>
        <v>0</v>
      </c>
      <c r="H193" s="392">
        <f t="shared" ref="H193:P193" si="100">H184+H188+H192</f>
        <v>0</v>
      </c>
      <c r="I193" s="392">
        <f t="shared" si="100"/>
        <v>0</v>
      </c>
      <c r="J193" s="392">
        <f t="shared" si="100"/>
        <v>0</v>
      </c>
      <c r="K193" s="392">
        <f t="shared" si="100"/>
        <v>0</v>
      </c>
      <c r="L193" s="392">
        <f t="shared" si="100"/>
        <v>0</v>
      </c>
      <c r="M193" s="392">
        <f t="shared" si="100"/>
        <v>0</v>
      </c>
      <c r="N193" s="392">
        <f t="shared" si="100"/>
        <v>0</v>
      </c>
      <c r="O193" s="392">
        <f t="shared" si="100"/>
        <v>0</v>
      </c>
      <c r="P193" s="392">
        <f t="shared" si="100"/>
        <v>0</v>
      </c>
      <c r="Q193" s="504"/>
      <c r="R193" s="420"/>
    </row>
    <row r="194" spans="3:18">
      <c r="C194" s="375" t="s">
        <v>310</v>
      </c>
      <c r="D194" s="376" t="s">
        <v>739</v>
      </c>
      <c r="E194" s="346" t="s">
        <v>625</v>
      </c>
      <c r="F194" s="28" t="s">
        <v>299</v>
      </c>
      <c r="G194" s="471"/>
      <c r="H194" s="471"/>
      <c r="I194" s="471"/>
      <c r="J194" s="471"/>
      <c r="K194" s="471"/>
      <c r="L194" s="471"/>
      <c r="M194" s="471"/>
      <c r="N194" s="471"/>
      <c r="O194" s="471"/>
      <c r="P194" s="471"/>
      <c r="Q194" s="504"/>
      <c r="R194" s="427"/>
    </row>
    <row r="195" spans="3:18">
      <c r="C195" s="340"/>
      <c r="D195" s="371"/>
      <c r="E195" s="346" t="s">
        <v>311</v>
      </c>
      <c r="F195" s="28" t="s">
        <v>123</v>
      </c>
      <c r="G195" s="506" t="s">
        <v>312</v>
      </c>
      <c r="H195" s="506" t="s">
        <v>312</v>
      </c>
      <c r="I195" s="506" t="s">
        <v>312</v>
      </c>
      <c r="J195" s="506" t="s">
        <v>312</v>
      </c>
      <c r="K195" s="506" t="s">
        <v>312</v>
      </c>
      <c r="L195" s="506" t="s">
        <v>312</v>
      </c>
      <c r="M195" s="506" t="s">
        <v>312</v>
      </c>
      <c r="N195" s="506" t="s">
        <v>312</v>
      </c>
      <c r="O195" s="506" t="s">
        <v>312</v>
      </c>
      <c r="P195" s="506" t="s">
        <v>312</v>
      </c>
      <c r="Q195" s="504"/>
      <c r="R195" s="420"/>
    </row>
    <row r="196" spans="3:18">
      <c r="C196" s="340"/>
      <c r="D196" s="371"/>
      <c r="E196" s="346" t="s">
        <v>320</v>
      </c>
      <c r="F196" s="28" t="s">
        <v>321</v>
      </c>
      <c r="G196" s="385">
        <f>_xlfn.XLOOKUP(G195,'Assumptions - General'!$B$5:$B$14,'Assumptions - General'!$C$5:$C$14)</f>
        <v>2.5</v>
      </c>
      <c r="H196" s="385">
        <f>_xlfn.XLOOKUP(H195,'Assumptions - General'!$B$5:$B$14,'Assumptions - General'!$C$5:$C$14)</f>
        <v>2.5</v>
      </c>
      <c r="I196" s="385">
        <f>_xlfn.XLOOKUP(I195,'Assumptions - General'!$B$5:$B$14,'Assumptions - General'!$C$5:$C$14)</f>
        <v>2.5</v>
      </c>
      <c r="J196" s="385">
        <f>_xlfn.XLOOKUP(J195,'Assumptions - General'!$B$5:$B$14,'Assumptions - General'!$C$5:$C$14)</f>
        <v>2.5</v>
      </c>
      <c r="K196" s="385">
        <f>_xlfn.XLOOKUP(K195,'Assumptions - General'!$B$5:$B$14,'Assumptions - General'!$C$5:$C$14)</f>
        <v>2.5</v>
      </c>
      <c r="L196" s="385">
        <f>_xlfn.XLOOKUP(L195,'Assumptions - General'!$B$5:$B$14,'Assumptions - General'!$C$5:$C$14)</f>
        <v>2.5</v>
      </c>
      <c r="M196" s="385">
        <f>_xlfn.XLOOKUP(M195,'Assumptions - General'!$B$5:$B$14,'Assumptions - General'!$C$5:$C$14)</f>
        <v>2.5</v>
      </c>
      <c r="N196" s="385">
        <f>_xlfn.XLOOKUP(N195,'Assumptions - General'!$B$5:$B$14,'Assumptions - General'!$C$5:$C$14)</f>
        <v>2.5</v>
      </c>
      <c r="O196" s="385">
        <f>_xlfn.XLOOKUP(O195,'Assumptions - General'!$B$5:$B$14,'Assumptions - General'!$C$5:$C$14)</f>
        <v>2.5</v>
      </c>
      <c r="P196" s="385">
        <f>_xlfn.XLOOKUP(P195,'Assumptions - General'!$B$5:$B$14,'Assumptions - General'!$C$5:$C$14)</f>
        <v>2.5</v>
      </c>
      <c r="Q196" s="504"/>
      <c r="R196" s="427"/>
    </row>
    <row r="197" spans="3:18">
      <c r="C197" s="343"/>
      <c r="D197" s="371"/>
      <c r="E197" s="346" t="s">
        <v>322</v>
      </c>
      <c r="F197" s="28" t="s">
        <v>221</v>
      </c>
      <c r="G197" s="385">
        <f t="shared" ref="G197:P197" si="101">G194*G196</f>
        <v>0</v>
      </c>
      <c r="H197" s="385">
        <f t="shared" si="101"/>
        <v>0</v>
      </c>
      <c r="I197" s="385">
        <f t="shared" si="101"/>
        <v>0</v>
      </c>
      <c r="J197" s="385">
        <f t="shared" si="101"/>
        <v>0</v>
      </c>
      <c r="K197" s="385">
        <f t="shared" si="101"/>
        <v>0</v>
      </c>
      <c r="L197" s="385">
        <f t="shared" si="101"/>
        <v>0</v>
      </c>
      <c r="M197" s="385">
        <f t="shared" si="101"/>
        <v>0</v>
      </c>
      <c r="N197" s="385">
        <f t="shared" si="101"/>
        <v>0</v>
      </c>
      <c r="O197" s="385">
        <f t="shared" si="101"/>
        <v>0</v>
      </c>
      <c r="P197" s="385">
        <f t="shared" si="101"/>
        <v>0</v>
      </c>
      <c r="Q197" s="504"/>
      <c r="R197" s="427"/>
    </row>
    <row r="198" spans="3:18">
      <c r="C198" s="338" t="s">
        <v>556</v>
      </c>
      <c r="D198" s="371"/>
      <c r="E198" s="346" t="s">
        <v>227</v>
      </c>
      <c r="F198" s="28" t="s">
        <v>228</v>
      </c>
      <c r="G198" s="342">
        <f t="shared" ref="G198:P198" si="102">_xlfn.XLOOKUP(G195,Rates_soil_seed_adds_names_R,Rates_soil_seed_adds_rates_R)</f>
        <v>47</v>
      </c>
      <c r="H198" s="342">
        <f t="shared" si="102"/>
        <v>47</v>
      </c>
      <c r="I198" s="342">
        <f t="shared" si="102"/>
        <v>47</v>
      </c>
      <c r="J198" s="342">
        <f t="shared" si="102"/>
        <v>47</v>
      </c>
      <c r="K198" s="342">
        <f t="shared" si="102"/>
        <v>47</v>
      </c>
      <c r="L198" s="342">
        <f t="shared" si="102"/>
        <v>47</v>
      </c>
      <c r="M198" s="342">
        <f t="shared" si="102"/>
        <v>47</v>
      </c>
      <c r="N198" s="342">
        <f t="shared" si="102"/>
        <v>47</v>
      </c>
      <c r="O198" s="342">
        <f t="shared" si="102"/>
        <v>47</v>
      </c>
      <c r="P198" s="342">
        <f t="shared" si="102"/>
        <v>47</v>
      </c>
      <c r="Q198" s="504"/>
      <c r="R198" s="427"/>
    </row>
    <row r="199" spans="3:18">
      <c r="C199" s="340"/>
      <c r="D199" s="371"/>
      <c r="E199" s="384" t="s">
        <v>229</v>
      </c>
      <c r="F199" s="28" t="s">
        <v>228</v>
      </c>
      <c r="G199" s="414"/>
      <c r="H199" s="414"/>
      <c r="I199" s="414"/>
      <c r="J199" s="414"/>
      <c r="K199" s="414"/>
      <c r="L199" s="414"/>
      <c r="M199" s="414"/>
      <c r="N199" s="414"/>
      <c r="O199" s="414"/>
      <c r="P199" s="414"/>
      <c r="Q199" s="504"/>
      <c r="R199" s="420"/>
    </row>
    <row r="200" spans="3:18">
      <c r="C200" s="343"/>
      <c r="D200" s="371"/>
      <c r="E200" s="346" t="s">
        <v>325</v>
      </c>
      <c r="F200" s="28" t="s">
        <v>207</v>
      </c>
      <c r="G200" s="380">
        <f t="shared" ref="G200:P200" si="103">IF(G199="",G198,G199)*G197</f>
        <v>0</v>
      </c>
      <c r="H200" s="380">
        <f t="shared" si="103"/>
        <v>0</v>
      </c>
      <c r="I200" s="380">
        <f t="shared" si="103"/>
        <v>0</v>
      </c>
      <c r="J200" s="380">
        <f t="shared" si="103"/>
        <v>0</v>
      </c>
      <c r="K200" s="380">
        <f t="shared" si="103"/>
        <v>0</v>
      </c>
      <c r="L200" s="380">
        <f t="shared" si="103"/>
        <v>0</v>
      </c>
      <c r="M200" s="380">
        <f t="shared" si="103"/>
        <v>0</v>
      </c>
      <c r="N200" s="380">
        <f t="shared" si="103"/>
        <v>0</v>
      </c>
      <c r="O200" s="380">
        <f t="shared" si="103"/>
        <v>0</v>
      </c>
      <c r="P200" s="380">
        <f t="shared" si="103"/>
        <v>0</v>
      </c>
      <c r="Q200" s="504"/>
      <c r="R200" s="420"/>
    </row>
    <row r="201" spans="3:18" ht="22.5">
      <c r="C201" s="338" t="s">
        <v>557</v>
      </c>
      <c r="D201" s="371"/>
      <c r="E201" s="442" t="s">
        <v>558</v>
      </c>
      <c r="F201" s="28" t="s">
        <v>411</v>
      </c>
      <c r="G201" s="507" t="s">
        <v>233</v>
      </c>
      <c r="H201" s="507" t="s">
        <v>233</v>
      </c>
      <c r="I201" s="507" t="s">
        <v>233</v>
      </c>
      <c r="J201" s="507" t="s">
        <v>233</v>
      </c>
      <c r="K201" s="507" t="s">
        <v>233</v>
      </c>
      <c r="L201" s="507" t="s">
        <v>233</v>
      </c>
      <c r="M201" s="507" t="s">
        <v>233</v>
      </c>
      <c r="N201" s="507" t="s">
        <v>233</v>
      </c>
      <c r="O201" s="507" t="s">
        <v>233</v>
      </c>
      <c r="P201" s="507" t="s">
        <v>233</v>
      </c>
      <c r="Q201" s="504"/>
      <c r="R201" s="420"/>
    </row>
    <row r="202" spans="3:18">
      <c r="C202" s="340"/>
      <c r="D202" s="371"/>
      <c r="E202" s="346" t="s">
        <v>227</v>
      </c>
      <c r="F202" s="28" t="s">
        <v>234</v>
      </c>
      <c r="G202" s="342">
        <f t="shared" ref="G202:P202" si="104">_xlfn.XLOOKUP(G201,Long_haul_soil_amend_names_mass_CS,Long_haul_soil_amend_rates_mass_CS)</f>
        <v>0.11650973647112783</v>
      </c>
      <c r="H202" s="342">
        <f t="shared" si="104"/>
        <v>0.11650973647112783</v>
      </c>
      <c r="I202" s="342">
        <f t="shared" si="104"/>
        <v>0.11650973647112783</v>
      </c>
      <c r="J202" s="342">
        <f t="shared" si="104"/>
        <v>0.11650973647112783</v>
      </c>
      <c r="K202" s="342">
        <f t="shared" si="104"/>
        <v>0.11650973647112783</v>
      </c>
      <c r="L202" s="342">
        <f t="shared" si="104"/>
        <v>0.11650973647112783</v>
      </c>
      <c r="M202" s="342">
        <f t="shared" si="104"/>
        <v>0.11650973647112783</v>
      </c>
      <c r="N202" s="342">
        <f t="shared" si="104"/>
        <v>0.11650973647112783</v>
      </c>
      <c r="O202" s="342">
        <f t="shared" si="104"/>
        <v>0.11650973647112783</v>
      </c>
      <c r="P202" s="342">
        <f t="shared" si="104"/>
        <v>0.11650973647112783</v>
      </c>
      <c r="Q202" s="504"/>
      <c r="R202" s="427"/>
    </row>
    <row r="203" spans="3:18">
      <c r="C203" s="340"/>
      <c r="D203" s="371"/>
      <c r="E203" s="384" t="s">
        <v>229</v>
      </c>
      <c r="F203" s="28" t="s">
        <v>234</v>
      </c>
      <c r="G203" s="414"/>
      <c r="H203" s="414"/>
      <c r="I203" s="414"/>
      <c r="J203" s="414"/>
      <c r="K203" s="414"/>
      <c r="L203" s="414"/>
      <c r="M203" s="414"/>
      <c r="N203" s="414"/>
      <c r="O203" s="414"/>
      <c r="P203" s="414"/>
      <c r="Q203" s="508"/>
      <c r="R203" s="427"/>
    </row>
    <row r="204" spans="3:18">
      <c r="C204" s="343"/>
      <c r="D204" s="371"/>
      <c r="E204" s="346" t="s">
        <v>146</v>
      </c>
      <c r="F204" s="28" t="s">
        <v>207</v>
      </c>
      <c r="G204" s="444">
        <f t="shared" ref="G204:P204" si="105">G197*_xlfn.XLOOKUP(G201,Long_haul_distance_names_L,Long_haul_distances_average_L)*IF(G203="",G202,G203)</f>
        <v>0</v>
      </c>
      <c r="H204" s="444">
        <f t="shared" si="105"/>
        <v>0</v>
      </c>
      <c r="I204" s="444">
        <f t="shared" si="105"/>
        <v>0</v>
      </c>
      <c r="J204" s="444">
        <f t="shared" si="105"/>
        <v>0</v>
      </c>
      <c r="K204" s="444">
        <f t="shared" si="105"/>
        <v>0</v>
      </c>
      <c r="L204" s="444">
        <f t="shared" si="105"/>
        <v>0</v>
      </c>
      <c r="M204" s="444">
        <f t="shared" si="105"/>
        <v>0</v>
      </c>
      <c r="N204" s="444">
        <f t="shared" si="105"/>
        <v>0</v>
      </c>
      <c r="O204" s="444">
        <f t="shared" si="105"/>
        <v>0</v>
      </c>
      <c r="P204" s="444">
        <f t="shared" si="105"/>
        <v>0</v>
      </c>
      <c r="Q204" s="504"/>
      <c r="R204" s="420"/>
    </row>
    <row r="205" spans="3:18">
      <c r="C205" s="338" t="s">
        <v>328</v>
      </c>
      <c r="D205" s="371"/>
      <c r="E205" s="384" t="s">
        <v>229</v>
      </c>
      <c r="F205" s="28" t="s">
        <v>329</v>
      </c>
      <c r="G205" s="414"/>
      <c r="H205" s="414"/>
      <c r="I205" s="414"/>
      <c r="J205" s="414"/>
      <c r="K205" s="414"/>
      <c r="L205" s="414"/>
      <c r="M205" s="414"/>
      <c r="N205" s="414"/>
      <c r="O205" s="414"/>
      <c r="P205" s="414"/>
      <c r="Q205" s="504"/>
      <c r="R205" s="420"/>
    </row>
    <row r="206" spans="3:18">
      <c r="C206" s="340"/>
      <c r="D206" s="371"/>
      <c r="E206" s="346" t="s">
        <v>227</v>
      </c>
      <c r="F206" s="28" t="s">
        <v>329</v>
      </c>
      <c r="G206" s="342">
        <f>'Cost Schedule'!$D$9</f>
        <v>2323.4444444444448</v>
      </c>
      <c r="H206" s="342">
        <f>'Cost Schedule'!$D$9</f>
        <v>2323.4444444444448</v>
      </c>
      <c r="I206" s="342">
        <f>'Cost Schedule'!$D$9</f>
        <v>2323.4444444444448</v>
      </c>
      <c r="J206" s="342">
        <f>'Cost Schedule'!$D$9</f>
        <v>2323.4444444444448</v>
      </c>
      <c r="K206" s="342">
        <f>'Cost Schedule'!$D$9</f>
        <v>2323.4444444444448</v>
      </c>
      <c r="L206" s="342">
        <f>'Cost Schedule'!$D$9</f>
        <v>2323.4444444444448</v>
      </c>
      <c r="M206" s="342">
        <f>'Cost Schedule'!$D$9</f>
        <v>2323.4444444444448</v>
      </c>
      <c r="N206" s="342">
        <f>'Cost Schedule'!$D$9</f>
        <v>2323.4444444444448</v>
      </c>
      <c r="O206" s="342">
        <f>'Cost Schedule'!$D$9</f>
        <v>2323.4444444444448</v>
      </c>
      <c r="P206" s="342">
        <f>'Cost Schedule'!$D$9</f>
        <v>2323.4444444444448</v>
      </c>
      <c r="Q206" s="504"/>
      <c r="R206" s="427"/>
    </row>
    <row r="207" spans="3:18">
      <c r="C207" s="343"/>
      <c r="D207" s="377"/>
      <c r="E207" s="346" t="s">
        <v>146</v>
      </c>
      <c r="F207" s="28" t="s">
        <v>207</v>
      </c>
      <c r="G207" s="445">
        <f t="shared" ref="G207:P207" si="106">G194*IF(G205="",G206,G205)</f>
        <v>0</v>
      </c>
      <c r="H207" s="445">
        <f t="shared" si="106"/>
        <v>0</v>
      </c>
      <c r="I207" s="445">
        <f t="shared" si="106"/>
        <v>0</v>
      </c>
      <c r="J207" s="445">
        <f t="shared" si="106"/>
        <v>0</v>
      </c>
      <c r="K207" s="445">
        <f t="shared" si="106"/>
        <v>0</v>
      </c>
      <c r="L207" s="445">
        <f t="shared" si="106"/>
        <v>0</v>
      </c>
      <c r="M207" s="445">
        <f t="shared" si="106"/>
        <v>0</v>
      </c>
      <c r="N207" s="445">
        <f t="shared" si="106"/>
        <v>0</v>
      </c>
      <c r="O207" s="445">
        <f t="shared" si="106"/>
        <v>0</v>
      </c>
      <c r="P207" s="445">
        <f t="shared" si="106"/>
        <v>0</v>
      </c>
      <c r="Q207" s="504"/>
      <c r="R207" s="420"/>
    </row>
    <row r="208" spans="3:18">
      <c r="C208" s="372"/>
      <c r="D208" s="373"/>
      <c r="E208" s="374" t="str">
        <f>C194</f>
        <v>Source and apply ameliorants</v>
      </c>
      <c r="F208" s="72"/>
      <c r="G208" s="392">
        <f t="shared" ref="G208:P208" si="107">G200+G204+G207</f>
        <v>0</v>
      </c>
      <c r="H208" s="392">
        <f t="shared" si="107"/>
        <v>0</v>
      </c>
      <c r="I208" s="392">
        <f t="shared" si="107"/>
        <v>0</v>
      </c>
      <c r="J208" s="392">
        <f t="shared" si="107"/>
        <v>0</v>
      </c>
      <c r="K208" s="392">
        <f t="shared" si="107"/>
        <v>0</v>
      </c>
      <c r="L208" s="392">
        <f t="shared" si="107"/>
        <v>0</v>
      </c>
      <c r="M208" s="392">
        <f t="shared" si="107"/>
        <v>0</v>
      </c>
      <c r="N208" s="392">
        <f t="shared" si="107"/>
        <v>0</v>
      </c>
      <c r="O208" s="392">
        <f t="shared" si="107"/>
        <v>0</v>
      </c>
      <c r="P208" s="392">
        <f t="shared" si="107"/>
        <v>0</v>
      </c>
      <c r="Q208" s="504"/>
      <c r="R208" s="420"/>
    </row>
    <row r="209" spans="3:18">
      <c r="C209" s="375" t="s">
        <v>740</v>
      </c>
      <c r="D209" s="376" t="s">
        <v>331</v>
      </c>
      <c r="E209" s="346" t="s">
        <v>298</v>
      </c>
      <c r="F209" s="28" t="s">
        <v>299</v>
      </c>
      <c r="G209" s="410">
        <f>G160</f>
        <v>1.08</v>
      </c>
      <c r="H209" s="410"/>
      <c r="I209" s="410"/>
      <c r="J209" s="410"/>
      <c r="K209" s="410"/>
      <c r="L209" s="410"/>
      <c r="M209" s="410"/>
      <c r="N209" s="410"/>
      <c r="O209" s="410"/>
      <c r="P209" s="410"/>
      <c r="Q209" s="509"/>
      <c r="R209" s="337"/>
    </row>
    <row r="210" spans="3:18">
      <c r="C210" s="340"/>
      <c r="D210" s="371"/>
      <c r="E210" s="346" t="s">
        <v>300</v>
      </c>
      <c r="F210" s="28" t="s">
        <v>299</v>
      </c>
      <c r="G210" s="410"/>
      <c r="H210" s="410"/>
      <c r="I210" s="410"/>
      <c r="J210" s="410"/>
      <c r="K210" s="410"/>
      <c r="L210" s="410"/>
      <c r="M210" s="410"/>
      <c r="N210" s="410"/>
      <c r="O210" s="410"/>
      <c r="P210" s="410"/>
      <c r="Q210" s="509"/>
      <c r="R210" s="337"/>
    </row>
    <row r="211" spans="3:18">
      <c r="C211" s="340"/>
      <c r="D211" s="371"/>
      <c r="E211" s="346" t="s">
        <v>301</v>
      </c>
      <c r="F211" s="28" t="s">
        <v>299</v>
      </c>
      <c r="G211" s="410"/>
      <c r="H211" s="410"/>
      <c r="I211" s="410"/>
      <c r="J211" s="410"/>
      <c r="K211" s="410"/>
      <c r="L211" s="410"/>
      <c r="M211" s="410"/>
      <c r="N211" s="410"/>
      <c r="O211" s="410"/>
      <c r="P211" s="410"/>
      <c r="Q211" s="509"/>
      <c r="R211" s="337"/>
    </row>
    <row r="212" spans="3:18">
      <c r="C212" s="340"/>
      <c r="D212" s="371"/>
      <c r="E212" s="346" t="s">
        <v>302</v>
      </c>
      <c r="F212" s="28" t="s">
        <v>299</v>
      </c>
      <c r="G212" s="410"/>
      <c r="H212" s="410"/>
      <c r="I212" s="410"/>
      <c r="J212" s="410"/>
      <c r="K212" s="410"/>
      <c r="L212" s="410"/>
      <c r="M212" s="410"/>
      <c r="N212" s="410"/>
      <c r="O212" s="410"/>
      <c r="P212" s="410"/>
      <c r="Q212" s="509"/>
      <c r="R212" s="337"/>
    </row>
    <row r="213" spans="3:18">
      <c r="C213" s="340"/>
      <c r="D213" s="377"/>
      <c r="E213" s="346" t="s">
        <v>303</v>
      </c>
      <c r="F213" s="28" t="s">
        <v>299</v>
      </c>
      <c r="G213" s="347">
        <f t="shared" ref="G213:P213" si="108">SUM(G209:G212)</f>
        <v>1.08</v>
      </c>
      <c r="H213" s="347">
        <f t="shared" si="108"/>
        <v>0</v>
      </c>
      <c r="I213" s="347">
        <f t="shared" si="108"/>
        <v>0</v>
      </c>
      <c r="J213" s="347">
        <f t="shared" si="108"/>
        <v>0</v>
      </c>
      <c r="K213" s="347">
        <f t="shared" si="108"/>
        <v>0</v>
      </c>
      <c r="L213" s="347">
        <f t="shared" si="108"/>
        <v>0</v>
      </c>
      <c r="M213" s="347">
        <f t="shared" si="108"/>
        <v>0</v>
      </c>
      <c r="N213" s="347">
        <f t="shared" si="108"/>
        <v>0</v>
      </c>
      <c r="O213" s="347">
        <f t="shared" si="108"/>
        <v>0</v>
      </c>
      <c r="P213" s="347">
        <f t="shared" si="108"/>
        <v>0</v>
      </c>
      <c r="Q213" s="509"/>
      <c r="R213" s="337"/>
    </row>
    <row r="214" spans="3:18" ht="45">
      <c r="C214" s="382" t="s">
        <v>332</v>
      </c>
      <c r="D214" s="376" t="s">
        <v>331</v>
      </c>
      <c r="E214" s="346" t="s">
        <v>333</v>
      </c>
      <c r="F214" s="28" t="s">
        <v>123</v>
      </c>
      <c r="G214" s="412" t="s">
        <v>561</v>
      </c>
      <c r="H214" s="412" t="s">
        <v>335</v>
      </c>
      <c r="I214" s="412" t="s">
        <v>336</v>
      </c>
      <c r="J214" s="412" t="s">
        <v>337</v>
      </c>
      <c r="K214" s="412" t="s">
        <v>338</v>
      </c>
      <c r="L214" s="412" t="s">
        <v>339</v>
      </c>
      <c r="M214" s="412" t="s">
        <v>562</v>
      </c>
      <c r="N214" s="412" t="s">
        <v>561</v>
      </c>
      <c r="O214" s="412" t="s">
        <v>340</v>
      </c>
      <c r="P214" s="412" t="s">
        <v>341</v>
      </c>
      <c r="Q214" s="509"/>
      <c r="R214" s="337" t="s">
        <v>342</v>
      </c>
    </row>
    <row r="215" spans="3:18">
      <c r="C215" s="383"/>
      <c r="D215" s="371"/>
      <c r="E215" s="346" t="s">
        <v>227</v>
      </c>
      <c r="F215" s="28" t="s">
        <v>329</v>
      </c>
      <c r="G215" s="342">
        <f t="shared" ref="G215:P215" si="109">_xlfn.XLOOKUP(G214,Plant_and_seed_names_CS,Plant_and_seed_rates_CS)</f>
        <v>16411.125</v>
      </c>
      <c r="H215" s="342">
        <f t="shared" si="109"/>
        <v>2760.4646429999998</v>
      </c>
      <c r="I215" s="342">
        <f t="shared" si="109"/>
        <v>4558.1905333333334</v>
      </c>
      <c r="J215" s="342">
        <f t="shared" si="109"/>
        <v>4172.8119999999999</v>
      </c>
      <c r="K215" s="342">
        <f t="shared" si="109"/>
        <v>1295.5612666666668</v>
      </c>
      <c r="L215" s="342">
        <f t="shared" si="109"/>
        <v>2086.3507666666669</v>
      </c>
      <c r="M215" s="342">
        <f t="shared" si="109"/>
        <v>5864.4153632500002</v>
      </c>
      <c r="N215" s="342">
        <f t="shared" si="109"/>
        <v>16411.125</v>
      </c>
      <c r="O215" s="342">
        <f t="shared" si="109"/>
        <v>47734.652863250005</v>
      </c>
      <c r="P215" s="342">
        <f t="shared" si="109"/>
        <v>59084.652863250005</v>
      </c>
      <c r="Q215" s="509"/>
      <c r="R215" s="337"/>
    </row>
    <row r="216" spans="3:18">
      <c r="C216" s="383"/>
      <c r="D216" s="371"/>
      <c r="E216" s="384" t="s">
        <v>229</v>
      </c>
      <c r="F216" s="28" t="s">
        <v>329</v>
      </c>
      <c r="G216" s="414"/>
      <c r="H216" s="414"/>
      <c r="I216" s="414"/>
      <c r="J216" s="414"/>
      <c r="K216" s="414"/>
      <c r="L216" s="414"/>
      <c r="M216" s="414"/>
      <c r="N216" s="414"/>
      <c r="O216" s="414"/>
      <c r="P216" s="414"/>
      <c r="Q216" s="509"/>
      <c r="R216" s="337"/>
    </row>
    <row r="217" spans="3:18">
      <c r="C217" s="383"/>
      <c r="D217" s="371"/>
      <c r="E217" s="384" t="s">
        <v>146</v>
      </c>
      <c r="F217" s="28" t="s">
        <v>207</v>
      </c>
      <c r="G217" s="380">
        <f>G213*IF(G216="",G215,G216)</f>
        <v>17724.014999999999</v>
      </c>
      <c r="H217" s="380">
        <f t="shared" ref="H217:P217" si="110">H213*IF(H216="",H215,H216)</f>
        <v>0</v>
      </c>
      <c r="I217" s="380">
        <f t="shared" si="110"/>
        <v>0</v>
      </c>
      <c r="J217" s="380">
        <f t="shared" si="110"/>
        <v>0</v>
      </c>
      <c r="K217" s="380">
        <f t="shared" si="110"/>
        <v>0</v>
      </c>
      <c r="L217" s="380">
        <f t="shared" si="110"/>
        <v>0</v>
      </c>
      <c r="M217" s="380">
        <f t="shared" si="110"/>
        <v>0</v>
      </c>
      <c r="N217" s="380">
        <f t="shared" si="110"/>
        <v>0</v>
      </c>
      <c r="O217" s="380">
        <f t="shared" si="110"/>
        <v>0</v>
      </c>
      <c r="P217" s="380">
        <f t="shared" si="110"/>
        <v>0</v>
      </c>
      <c r="Q217" s="509"/>
      <c r="R217" s="337"/>
    </row>
    <row r="218" spans="3:18" ht="12" thickBot="1">
      <c r="C218" s="372"/>
      <c r="D218" s="373"/>
      <c r="E218" s="374" t="str">
        <f>C209</f>
        <v>Vegetate</v>
      </c>
      <c r="F218" s="72"/>
      <c r="G218" s="365">
        <f>G217</f>
        <v>17724.014999999999</v>
      </c>
      <c r="H218" s="365">
        <f t="shared" ref="H218:P218" si="111">H217</f>
        <v>0</v>
      </c>
      <c r="I218" s="365">
        <f t="shared" si="111"/>
        <v>0</v>
      </c>
      <c r="J218" s="365">
        <f t="shared" si="111"/>
        <v>0</v>
      </c>
      <c r="K218" s="365">
        <f t="shared" si="111"/>
        <v>0</v>
      </c>
      <c r="L218" s="365">
        <f t="shared" si="111"/>
        <v>0</v>
      </c>
      <c r="M218" s="365">
        <f t="shared" si="111"/>
        <v>0</v>
      </c>
      <c r="N218" s="365">
        <f t="shared" si="111"/>
        <v>0</v>
      </c>
      <c r="O218" s="365">
        <f t="shared" si="111"/>
        <v>0</v>
      </c>
      <c r="P218" s="365">
        <f t="shared" si="111"/>
        <v>0</v>
      </c>
      <c r="Q218" s="509"/>
      <c r="R218" s="337"/>
    </row>
    <row r="219" spans="3:18" ht="68.25" thickTop="1">
      <c r="C219" s="434" t="s">
        <v>741</v>
      </c>
      <c r="D219" s="352"/>
      <c r="E219" s="335" t="s">
        <v>55</v>
      </c>
      <c r="F219" s="28" t="s">
        <v>123</v>
      </c>
      <c r="G219" s="462" t="s">
        <v>535</v>
      </c>
      <c r="H219" s="462" t="s">
        <v>742</v>
      </c>
      <c r="I219" s="462" t="s">
        <v>743</v>
      </c>
      <c r="J219" s="462" t="s">
        <v>536</v>
      </c>
      <c r="K219" s="462" t="s">
        <v>537</v>
      </c>
      <c r="L219" s="462" t="s">
        <v>538</v>
      </c>
      <c r="M219" s="462" t="s">
        <v>535</v>
      </c>
      <c r="N219" s="462" t="s">
        <v>535</v>
      </c>
      <c r="O219" s="462" t="s">
        <v>535</v>
      </c>
      <c r="P219" s="462" t="s">
        <v>535</v>
      </c>
      <c r="Q219" s="504"/>
      <c r="R219" s="420"/>
    </row>
    <row r="220" spans="3:18">
      <c r="C220" s="353"/>
      <c r="D220" s="354"/>
      <c r="E220" s="335" t="s">
        <v>214</v>
      </c>
      <c r="F220" s="28" t="s">
        <v>299</v>
      </c>
      <c r="G220" s="455">
        <f>G213</f>
        <v>1.08</v>
      </c>
      <c r="H220" s="455"/>
      <c r="I220" s="455"/>
      <c r="J220" s="455"/>
      <c r="K220" s="455"/>
      <c r="L220" s="455"/>
      <c r="M220" s="455"/>
      <c r="N220" s="455"/>
      <c r="O220" s="455"/>
      <c r="P220" s="455"/>
      <c r="Q220" s="504"/>
      <c r="R220" s="420"/>
    </row>
    <row r="221" spans="3:18">
      <c r="C221" s="353"/>
      <c r="D221" s="354"/>
      <c r="E221" s="335" t="s">
        <v>204</v>
      </c>
      <c r="F221" s="28" t="s">
        <v>329</v>
      </c>
      <c r="G221" s="438">
        <f t="shared" ref="G221:P221" si="112">_xlfn.XLOOKUP(G219,Maintenance_rehab_areas_names_CS,Maintenance_rehab_areas_rates_CS)</f>
        <v>1047.9768316769243</v>
      </c>
      <c r="H221" s="438">
        <f t="shared" si="112"/>
        <v>473.09634541637763</v>
      </c>
      <c r="I221" s="438">
        <f t="shared" si="112"/>
        <v>1266.6334079070016</v>
      </c>
      <c r="J221" s="438">
        <f t="shared" si="112"/>
        <v>1978.1198943934883</v>
      </c>
      <c r="K221" s="438">
        <f t="shared" si="112"/>
        <v>3401.0928673664612</v>
      </c>
      <c r="L221" s="438">
        <f t="shared" si="112"/>
        <v>27579.416003948303</v>
      </c>
      <c r="M221" s="438">
        <f t="shared" si="112"/>
        <v>1047.9768316769243</v>
      </c>
      <c r="N221" s="438">
        <f t="shared" si="112"/>
        <v>1047.9768316769243</v>
      </c>
      <c r="O221" s="438">
        <f t="shared" si="112"/>
        <v>1047.9768316769243</v>
      </c>
      <c r="P221" s="438">
        <f t="shared" si="112"/>
        <v>1047.9768316769243</v>
      </c>
      <c r="Q221" s="504"/>
      <c r="R221" s="420"/>
    </row>
    <row r="222" spans="3:18">
      <c r="C222" s="353"/>
      <c r="D222" s="354"/>
      <c r="E222" s="335" t="s">
        <v>206</v>
      </c>
      <c r="F222" s="28" t="s">
        <v>329</v>
      </c>
      <c r="G222" s="414"/>
      <c r="H222" s="414"/>
      <c r="I222" s="414"/>
      <c r="J222" s="414"/>
      <c r="K222" s="414"/>
      <c r="L222" s="414"/>
      <c r="M222" s="414"/>
      <c r="N222" s="414"/>
      <c r="O222" s="414"/>
      <c r="P222" s="414"/>
      <c r="Q222" s="504"/>
      <c r="R222" s="420"/>
    </row>
    <row r="223" spans="3:18">
      <c r="C223" s="355"/>
      <c r="D223" s="356"/>
      <c r="E223" s="335" t="s">
        <v>146</v>
      </c>
      <c r="F223" s="28" t="s">
        <v>207</v>
      </c>
      <c r="G223" s="380">
        <f t="shared" ref="G223:P223" si="113">G220*IF(G222="",G221,G222)</f>
        <v>1131.8149782110784</v>
      </c>
      <c r="H223" s="380">
        <f t="shared" si="113"/>
        <v>0</v>
      </c>
      <c r="I223" s="380">
        <f t="shared" si="113"/>
        <v>0</v>
      </c>
      <c r="J223" s="380">
        <f t="shared" si="113"/>
        <v>0</v>
      </c>
      <c r="K223" s="380">
        <f t="shared" si="113"/>
        <v>0</v>
      </c>
      <c r="L223" s="380">
        <f t="shared" si="113"/>
        <v>0</v>
      </c>
      <c r="M223" s="380">
        <f t="shared" si="113"/>
        <v>0</v>
      </c>
      <c r="N223" s="380">
        <f t="shared" si="113"/>
        <v>0</v>
      </c>
      <c r="O223" s="380">
        <f t="shared" si="113"/>
        <v>0</v>
      </c>
      <c r="P223" s="380">
        <f t="shared" si="113"/>
        <v>0</v>
      </c>
      <c r="Q223" s="504"/>
      <c r="R223" s="420"/>
    </row>
    <row r="224" spans="3:18">
      <c r="C224" s="439"/>
      <c r="D224" s="493"/>
      <c r="E224" s="440" t="str">
        <f>C219</f>
        <v>Maintain Rehabilitated Areas and Repairs</v>
      </c>
      <c r="F224" s="441"/>
      <c r="G224" s="97">
        <f>G223</f>
        <v>1131.8149782110784</v>
      </c>
      <c r="H224" s="97">
        <f t="shared" ref="H224:P224" si="114">H223</f>
        <v>0</v>
      </c>
      <c r="I224" s="97">
        <f t="shared" si="114"/>
        <v>0</v>
      </c>
      <c r="J224" s="97">
        <f t="shared" si="114"/>
        <v>0</v>
      </c>
      <c r="K224" s="97">
        <f t="shared" si="114"/>
        <v>0</v>
      </c>
      <c r="L224" s="97">
        <f t="shared" si="114"/>
        <v>0</v>
      </c>
      <c r="M224" s="97">
        <f t="shared" si="114"/>
        <v>0</v>
      </c>
      <c r="N224" s="97">
        <f t="shared" si="114"/>
        <v>0</v>
      </c>
      <c r="O224" s="97">
        <f t="shared" si="114"/>
        <v>0</v>
      </c>
      <c r="P224" s="97">
        <f t="shared" si="114"/>
        <v>0</v>
      </c>
      <c r="Q224" s="504"/>
      <c r="R224" s="420"/>
    </row>
    <row r="225" spans="3:18" ht="22.5" collapsed="1">
      <c r="C225" s="428" t="s">
        <v>744</v>
      </c>
      <c r="D225" s="429"/>
      <c r="E225" s="346" t="s">
        <v>311</v>
      </c>
      <c r="F225" s="28" t="s">
        <v>123</v>
      </c>
      <c r="G225" s="412" t="s">
        <v>745</v>
      </c>
      <c r="H225" s="412" t="s">
        <v>746</v>
      </c>
      <c r="I225" s="412" t="s">
        <v>569</v>
      </c>
      <c r="J225" s="412" t="s">
        <v>747</v>
      </c>
      <c r="K225" s="412" t="s">
        <v>568</v>
      </c>
      <c r="L225" s="412" t="s">
        <v>748</v>
      </c>
      <c r="M225" s="412" t="s">
        <v>564</v>
      </c>
      <c r="N225" s="412" t="s">
        <v>569</v>
      </c>
      <c r="O225" s="412" t="s">
        <v>566</v>
      </c>
      <c r="P225" s="412" t="s">
        <v>570</v>
      </c>
      <c r="Q225" s="504"/>
      <c r="R225" s="420"/>
    </row>
    <row r="226" spans="3:18">
      <c r="C226" s="430"/>
      <c r="D226" s="431"/>
      <c r="E226" s="346" t="s">
        <v>355</v>
      </c>
      <c r="F226" s="28" t="s">
        <v>571</v>
      </c>
      <c r="G226" s="454">
        <f>18500*0.3*2.4</f>
        <v>13320</v>
      </c>
      <c r="H226" s="454"/>
      <c r="I226" s="454"/>
      <c r="J226" s="454"/>
      <c r="K226" s="454"/>
      <c r="L226" s="454"/>
      <c r="M226" s="454"/>
      <c r="N226" s="454"/>
      <c r="O226" s="454"/>
      <c r="P226" s="454"/>
      <c r="Q226" s="504"/>
      <c r="R226" s="420"/>
    </row>
    <row r="227" spans="3:18">
      <c r="C227" s="430"/>
      <c r="D227" s="431"/>
      <c r="E227" s="346" t="s">
        <v>353</v>
      </c>
      <c r="G227" s="385" t="str">
        <f t="shared" ref="G227:P227" si="115">_xlfn.XLOOKUP(G225,Waste_names_L,Waste_qty_units_L)</f>
        <v>tonne</v>
      </c>
      <c r="H227" s="385" t="str">
        <f t="shared" si="115"/>
        <v>tonne</v>
      </c>
      <c r="I227" s="385" t="str">
        <f t="shared" si="115"/>
        <v>m</v>
      </c>
      <c r="J227" s="385" t="str">
        <f t="shared" si="115"/>
        <v>kL</v>
      </c>
      <c r="K227" s="385" t="str">
        <f t="shared" si="115"/>
        <v>kL</v>
      </c>
      <c r="L227" s="385" t="str">
        <f t="shared" si="115"/>
        <v>tonne</v>
      </c>
      <c r="M227" s="385" t="str">
        <f t="shared" si="115"/>
        <v>m2</v>
      </c>
      <c r="N227" s="385" t="str">
        <f t="shared" si="115"/>
        <v>m</v>
      </c>
      <c r="O227" s="385" t="str">
        <f t="shared" si="115"/>
        <v>tonne</v>
      </c>
      <c r="P227" s="385" t="str">
        <f t="shared" si="115"/>
        <v>m2</v>
      </c>
      <c r="Q227" s="504"/>
      <c r="R227" s="420"/>
    </row>
    <row r="228" spans="3:18">
      <c r="C228" s="430"/>
      <c r="D228" s="431"/>
      <c r="E228" s="346" t="s">
        <v>572</v>
      </c>
      <c r="F228" s="28" t="s">
        <v>573</v>
      </c>
      <c r="G228" s="385">
        <f t="shared" ref="G228:P228" si="116">IF(OR(G225=Concrete_rubble_debris_disposal,G225=Steel_disposal,G225=Asbestos_in_soil,G225=Hazardous_waste,G225=Restricted_solid_waste,G225=Low_level_solid_waste,G225=Oil_disposal,G225=Oily_water_disposal),1*G226,IF(G225=Asbestos_from_buildings,G226*Asbestos_sheet_density,IF(G225=Asbestos_from_pipe,G226*Asbestos_pipe_specific_density,IF(G225=Plastic_liner_disposal,G226*Liner_specific_mass))))</f>
        <v>13320</v>
      </c>
      <c r="H228" s="385">
        <f t="shared" si="116"/>
        <v>0</v>
      </c>
      <c r="I228" s="385">
        <f t="shared" si="116"/>
        <v>0</v>
      </c>
      <c r="J228" s="385">
        <f t="shared" si="116"/>
        <v>0</v>
      </c>
      <c r="K228" s="385">
        <f t="shared" si="116"/>
        <v>0</v>
      </c>
      <c r="L228" s="385">
        <f t="shared" si="116"/>
        <v>0</v>
      </c>
      <c r="M228" s="385">
        <f t="shared" si="116"/>
        <v>0</v>
      </c>
      <c r="N228" s="385">
        <f t="shared" si="116"/>
        <v>0</v>
      </c>
      <c r="O228" s="385">
        <f t="shared" si="116"/>
        <v>0</v>
      </c>
      <c r="P228" s="385">
        <f t="shared" si="116"/>
        <v>0</v>
      </c>
      <c r="Q228" s="504"/>
      <c r="R228" s="420"/>
    </row>
    <row r="229" spans="3:18">
      <c r="C229" s="430"/>
      <c r="D229" s="431"/>
      <c r="E229" s="346" t="s">
        <v>574</v>
      </c>
      <c r="F229" s="28" t="s">
        <v>573</v>
      </c>
      <c r="G229" s="455"/>
      <c r="H229" s="455"/>
      <c r="I229" s="455"/>
      <c r="J229" s="455"/>
      <c r="K229" s="455"/>
      <c r="L229" s="455"/>
      <c r="M229" s="455"/>
      <c r="N229" s="455"/>
      <c r="O229" s="455"/>
      <c r="P229" s="455"/>
      <c r="Q229" s="504"/>
      <c r="R229" s="420"/>
    </row>
    <row r="230" spans="3:18">
      <c r="C230" s="430"/>
      <c r="D230" s="431"/>
      <c r="E230" s="346" t="s">
        <v>575</v>
      </c>
      <c r="F230" s="28" t="s">
        <v>573</v>
      </c>
      <c r="G230" s="385">
        <f>IF(G229="",G228,G229)</f>
        <v>13320</v>
      </c>
      <c r="H230" s="385">
        <f t="shared" ref="H230:P230" si="117">IF(H229="",H228,H229)</f>
        <v>0</v>
      </c>
      <c r="I230" s="385">
        <f t="shared" si="117"/>
        <v>0</v>
      </c>
      <c r="J230" s="385">
        <f t="shared" si="117"/>
        <v>0</v>
      </c>
      <c r="K230" s="385">
        <f t="shared" si="117"/>
        <v>0</v>
      </c>
      <c r="L230" s="385">
        <f t="shared" si="117"/>
        <v>0</v>
      </c>
      <c r="M230" s="385">
        <f t="shared" si="117"/>
        <v>0</v>
      </c>
      <c r="N230" s="385">
        <f t="shared" si="117"/>
        <v>0</v>
      </c>
      <c r="O230" s="385">
        <f t="shared" si="117"/>
        <v>0</v>
      </c>
      <c r="P230" s="385">
        <f t="shared" si="117"/>
        <v>0</v>
      </c>
      <c r="Q230" s="504"/>
      <c r="R230" s="420"/>
    </row>
    <row r="231" spans="3:18">
      <c r="C231" s="446" t="s">
        <v>576</v>
      </c>
      <c r="D231" s="429"/>
      <c r="E231" s="346" t="s">
        <v>327</v>
      </c>
      <c r="F231" s="28" t="s">
        <v>411</v>
      </c>
      <c r="G231" s="456" t="s">
        <v>559</v>
      </c>
      <c r="H231" s="456" t="s">
        <v>577</v>
      </c>
      <c r="I231" s="456" t="s">
        <v>251</v>
      </c>
      <c r="J231" s="456" t="s">
        <v>578</v>
      </c>
      <c r="K231" s="456" t="s">
        <v>578</v>
      </c>
      <c r="L231" s="456" t="s">
        <v>578</v>
      </c>
      <c r="M231" s="456" t="s">
        <v>578</v>
      </c>
      <c r="N231" s="456" t="s">
        <v>578</v>
      </c>
      <c r="O231" s="456" t="s">
        <v>578</v>
      </c>
      <c r="P231" s="456" t="s">
        <v>578</v>
      </c>
      <c r="Q231" s="504"/>
      <c r="R231" s="420"/>
    </row>
    <row r="232" spans="3:18">
      <c r="C232" s="430"/>
      <c r="D232" s="431"/>
      <c r="E232" s="346" t="s">
        <v>579</v>
      </c>
      <c r="F232" s="28" t="s">
        <v>411</v>
      </c>
      <c r="G232" s="385">
        <f t="shared" ref="G232:P232" si="118">_xlfn.XLOOKUP(G231,Long_haul_distance_names_L,Long_haul_distances_average_L)</f>
        <v>32.5</v>
      </c>
      <c r="H232" s="385">
        <f t="shared" si="118"/>
        <v>22.5</v>
      </c>
      <c r="I232" s="385">
        <f t="shared" si="118"/>
        <v>42.5</v>
      </c>
      <c r="J232" s="385">
        <f t="shared" si="118"/>
        <v>37.5</v>
      </c>
      <c r="K232" s="385">
        <f t="shared" si="118"/>
        <v>37.5</v>
      </c>
      <c r="L232" s="385">
        <f t="shared" si="118"/>
        <v>37.5</v>
      </c>
      <c r="M232" s="385">
        <f t="shared" si="118"/>
        <v>37.5</v>
      </c>
      <c r="N232" s="385">
        <f t="shared" si="118"/>
        <v>37.5</v>
      </c>
      <c r="O232" s="385">
        <f t="shared" si="118"/>
        <v>37.5</v>
      </c>
      <c r="P232" s="385">
        <f t="shared" si="118"/>
        <v>37.5</v>
      </c>
      <c r="Q232" s="504"/>
      <c r="R232" s="420"/>
    </row>
    <row r="233" spans="3:18">
      <c r="C233" s="430"/>
      <c r="D233" s="431"/>
      <c r="E233" s="346" t="s">
        <v>580</v>
      </c>
      <c r="F233" s="28" t="s">
        <v>581</v>
      </c>
      <c r="G233" s="367">
        <f>G232*G230</f>
        <v>432900</v>
      </c>
      <c r="H233" s="367">
        <f t="shared" ref="H233:P233" si="119">H232*H230</f>
        <v>0</v>
      </c>
      <c r="I233" s="367">
        <f t="shared" si="119"/>
        <v>0</v>
      </c>
      <c r="J233" s="367">
        <f t="shared" si="119"/>
        <v>0</v>
      </c>
      <c r="K233" s="367">
        <f t="shared" si="119"/>
        <v>0</v>
      </c>
      <c r="L233" s="367">
        <f t="shared" si="119"/>
        <v>0</v>
      </c>
      <c r="M233" s="367">
        <f t="shared" si="119"/>
        <v>0</v>
      </c>
      <c r="N233" s="367">
        <f t="shared" si="119"/>
        <v>0</v>
      </c>
      <c r="O233" s="367">
        <f t="shared" si="119"/>
        <v>0</v>
      </c>
      <c r="P233" s="367">
        <f t="shared" si="119"/>
        <v>0</v>
      </c>
      <c r="Q233" s="504"/>
      <c r="R233" s="420"/>
    </row>
    <row r="234" spans="3:18">
      <c r="C234" s="430"/>
      <c r="D234" s="431"/>
      <c r="E234" s="346" t="s">
        <v>227</v>
      </c>
      <c r="F234" s="28" t="s">
        <v>582</v>
      </c>
      <c r="G234" s="342">
        <f t="shared" ref="G234:P234" si="120">IF(OR(G225=Concrete_rubble_debris_disposal,G225=Plastic_liner_disposal,G225=Asbestos_in_soil,G225=Asbestos_from_buildings,G225=Asbestos_from_pipe),_xlfn.XLOOKUP(G231,Long_haul_concrete_rubble_distances_CS,Long_haul_concrete_rubble_rates_CS),IF(OR(G225=Hazardous_waste,G225=Restricted_solid_waste,G225=Low_level_solid_waste),_xlfn.XLOOKUP(G231,Long_haul_soil_amend_names_volume_CS,Long_haul_soil_amend_rates_mass_CS),IF(G225=Oily_water_disposal,_xlfn.XLOOKUP(G231,Load_and_haul_water_names_CS,Load_and_haul_water_rates_CS),IF(G225=Steel_disposal,_xlfn.XLOOKUP(G231,Long_haul_steel_distances_CS,Long_haul_steel_rates_CS),IF(G225=Oil_disposal,_xlfn.XLOOKUP(G231,Long_haul_oil_names_CS,Long_haul_oil_rates_CS))))))</f>
        <v>0.33431468868249054</v>
      </c>
      <c r="H234" s="342">
        <f t="shared" si="120"/>
        <v>0.36400584795321633</v>
      </c>
      <c r="I234" s="342">
        <f t="shared" si="120"/>
        <v>0.29074477427709994</v>
      </c>
      <c r="J234" s="342">
        <f t="shared" si="120"/>
        <v>1.1720421423930196</v>
      </c>
      <c r="K234" s="342">
        <f t="shared" si="120"/>
        <v>1.1096548408057179</v>
      </c>
      <c r="L234" s="342">
        <f t="shared" si="120"/>
        <v>0.32986652405716321</v>
      </c>
      <c r="M234" s="342">
        <f t="shared" si="120"/>
        <v>0.32986652405716321</v>
      </c>
      <c r="N234" s="342">
        <f t="shared" si="120"/>
        <v>0.32986652405716321</v>
      </c>
      <c r="O234" s="342">
        <f t="shared" si="120"/>
        <v>0.12388427816947212</v>
      </c>
      <c r="P234" s="342">
        <f t="shared" si="120"/>
        <v>0.32986652405716321</v>
      </c>
      <c r="Q234" s="504"/>
      <c r="R234" s="420"/>
    </row>
    <row r="235" spans="3:18">
      <c r="C235" s="430"/>
      <c r="D235" s="431"/>
      <c r="E235" s="346" t="s">
        <v>229</v>
      </c>
      <c r="F235" s="28" t="s">
        <v>582</v>
      </c>
      <c r="G235" s="414"/>
      <c r="H235" s="414"/>
      <c r="I235" s="414"/>
      <c r="J235" s="414"/>
      <c r="K235" s="414"/>
      <c r="L235" s="414"/>
      <c r="M235" s="414"/>
      <c r="N235" s="414"/>
      <c r="O235" s="414"/>
      <c r="P235" s="414"/>
      <c r="Q235" s="504"/>
      <c r="R235" s="420"/>
    </row>
    <row r="236" spans="3:18">
      <c r="C236" s="432"/>
      <c r="D236" s="433"/>
      <c r="E236" s="346" t="s">
        <v>146</v>
      </c>
      <c r="F236" s="28" t="s">
        <v>207</v>
      </c>
      <c r="G236" s="424">
        <f t="shared" ref="G236:P236" si="121">G233*IF(G235="",G234,G235)</f>
        <v>144724.82873065016</v>
      </c>
      <c r="H236" s="424">
        <f t="shared" si="121"/>
        <v>0</v>
      </c>
      <c r="I236" s="424">
        <f t="shared" si="121"/>
        <v>0</v>
      </c>
      <c r="J236" s="424">
        <f t="shared" si="121"/>
        <v>0</v>
      </c>
      <c r="K236" s="424">
        <f t="shared" si="121"/>
        <v>0</v>
      </c>
      <c r="L236" s="424">
        <f t="shared" si="121"/>
        <v>0</v>
      </c>
      <c r="M236" s="424">
        <f t="shared" si="121"/>
        <v>0</v>
      </c>
      <c r="N236" s="424">
        <f t="shared" si="121"/>
        <v>0</v>
      </c>
      <c r="O236" s="424">
        <f t="shared" si="121"/>
        <v>0</v>
      </c>
      <c r="P236" s="424">
        <f t="shared" si="121"/>
        <v>0</v>
      </c>
      <c r="Q236" s="504"/>
      <c r="R236" s="420"/>
    </row>
    <row r="237" spans="3:18">
      <c r="C237" s="430" t="s">
        <v>583</v>
      </c>
      <c r="D237" s="431"/>
      <c r="E237" s="346" t="s">
        <v>227</v>
      </c>
      <c r="F237" s="28" t="s">
        <v>584</v>
      </c>
      <c r="G237" s="342">
        <f t="shared" ref="G237:P237" si="122">_xlfn.XLOOKUP(G225,Waste_gate_fee_names_R,Waste_gate_fee_rates_R)</f>
        <v>80</v>
      </c>
      <c r="H237" s="342">
        <f t="shared" si="122"/>
        <v>0</v>
      </c>
      <c r="I237" s="342">
        <f t="shared" si="122"/>
        <v>80</v>
      </c>
      <c r="J237" s="342">
        <f t="shared" si="122"/>
        <v>2000</v>
      </c>
      <c r="K237" s="342">
        <f t="shared" si="122"/>
        <v>330</v>
      </c>
      <c r="L237" s="342">
        <f t="shared" si="122"/>
        <v>300</v>
      </c>
      <c r="M237" s="342">
        <f t="shared" si="122"/>
        <v>460</v>
      </c>
      <c r="N237" s="342">
        <f t="shared" si="122"/>
        <v>80</v>
      </c>
      <c r="O237" s="342">
        <f t="shared" si="122"/>
        <v>460</v>
      </c>
      <c r="P237" s="342">
        <f t="shared" si="122"/>
        <v>0.16799999999999998</v>
      </c>
      <c r="Q237" s="504"/>
      <c r="R237" s="420"/>
    </row>
    <row r="238" spans="3:18">
      <c r="C238" s="430"/>
      <c r="D238" s="431"/>
      <c r="E238" s="346" t="s">
        <v>229</v>
      </c>
      <c r="F238" s="28" t="s">
        <v>584</v>
      </c>
      <c r="G238" s="414"/>
      <c r="H238" s="414"/>
      <c r="I238" s="414"/>
      <c r="J238" s="414"/>
      <c r="K238" s="414"/>
      <c r="L238" s="414"/>
      <c r="M238" s="414"/>
      <c r="N238" s="414"/>
      <c r="O238" s="414"/>
      <c r="P238" s="414"/>
      <c r="Q238" s="504"/>
      <c r="R238" s="420"/>
    </row>
    <row r="239" spans="3:18">
      <c r="C239" s="432"/>
      <c r="D239" s="433"/>
      <c r="E239" s="346" t="s">
        <v>146</v>
      </c>
      <c r="F239" s="28" t="s">
        <v>207</v>
      </c>
      <c r="G239" s="424">
        <f>IF(G238="",G237,G238)*G230</f>
        <v>1065600</v>
      </c>
      <c r="H239" s="424">
        <f t="shared" ref="H239:P239" si="123">IF(H238="",H237,H238)*H230</f>
        <v>0</v>
      </c>
      <c r="I239" s="424">
        <f t="shared" si="123"/>
        <v>0</v>
      </c>
      <c r="J239" s="424">
        <f t="shared" si="123"/>
        <v>0</v>
      </c>
      <c r="K239" s="424">
        <f t="shared" si="123"/>
        <v>0</v>
      </c>
      <c r="L239" s="424">
        <f t="shared" si="123"/>
        <v>0</v>
      </c>
      <c r="M239" s="424">
        <f t="shared" si="123"/>
        <v>0</v>
      </c>
      <c r="N239" s="424">
        <f t="shared" si="123"/>
        <v>0</v>
      </c>
      <c r="O239" s="424">
        <f t="shared" si="123"/>
        <v>0</v>
      </c>
      <c r="P239" s="424">
        <f t="shared" si="123"/>
        <v>0</v>
      </c>
      <c r="Q239" s="504"/>
      <c r="R239" s="420"/>
    </row>
    <row r="240" spans="3:18" ht="22.5">
      <c r="C240" s="446" t="s">
        <v>585</v>
      </c>
      <c r="D240" s="429"/>
      <c r="E240" s="346" t="s">
        <v>311</v>
      </c>
      <c r="F240" s="28" t="s">
        <v>123</v>
      </c>
      <c r="G240" s="456" t="s">
        <v>586</v>
      </c>
      <c r="H240" s="456" t="s">
        <v>586</v>
      </c>
      <c r="I240" s="456" t="s">
        <v>586</v>
      </c>
      <c r="J240" s="456" t="s">
        <v>587</v>
      </c>
      <c r="K240" s="456" t="s">
        <v>587</v>
      </c>
      <c r="L240" s="456" t="s">
        <v>588</v>
      </c>
      <c r="M240" s="456" t="s">
        <v>588</v>
      </c>
      <c r="N240" s="456" t="s">
        <v>587</v>
      </c>
      <c r="O240" s="456" t="s">
        <v>587</v>
      </c>
      <c r="P240" s="456" t="s">
        <v>587</v>
      </c>
      <c r="Q240" s="504"/>
      <c r="R240" s="420"/>
    </row>
    <row r="241" spans="3:18">
      <c r="C241" s="430"/>
      <c r="D241" s="431"/>
      <c r="E241" s="346" t="s">
        <v>322</v>
      </c>
      <c r="F241" s="28" t="s">
        <v>221</v>
      </c>
      <c r="G241" s="385">
        <f>IF(G227="kL",0,G230)</f>
        <v>13320</v>
      </c>
      <c r="H241" s="385">
        <f t="shared" ref="H241:P241" si="124">IF(H227="kL",0,H230)</f>
        <v>0</v>
      </c>
      <c r="I241" s="385">
        <f t="shared" si="124"/>
        <v>0</v>
      </c>
      <c r="J241" s="385">
        <f t="shared" si="124"/>
        <v>0</v>
      </c>
      <c r="K241" s="385">
        <f t="shared" si="124"/>
        <v>0</v>
      </c>
      <c r="L241" s="385">
        <f t="shared" si="124"/>
        <v>0</v>
      </c>
      <c r="M241" s="385">
        <f t="shared" si="124"/>
        <v>0</v>
      </c>
      <c r="N241" s="385">
        <f t="shared" si="124"/>
        <v>0</v>
      </c>
      <c r="O241" s="385">
        <f t="shared" si="124"/>
        <v>0</v>
      </c>
      <c r="P241" s="385">
        <f t="shared" si="124"/>
        <v>0</v>
      </c>
      <c r="Q241" s="504"/>
      <c r="R241" s="420"/>
    </row>
    <row r="242" spans="3:18">
      <c r="C242" s="430"/>
      <c r="D242" s="431"/>
      <c r="E242" s="346" t="s">
        <v>227</v>
      </c>
      <c r="F242" s="28" t="s">
        <v>228</v>
      </c>
      <c r="G242" s="342">
        <f t="shared" ref="G242:P242" si="125">_xlfn.XLOOKUP(G240,Waste_levy_names_R,Waste_levy_rates_R)</f>
        <v>97.9</v>
      </c>
      <c r="H242" s="342">
        <f t="shared" si="125"/>
        <v>97.9</v>
      </c>
      <c r="I242" s="342">
        <f t="shared" si="125"/>
        <v>97.9</v>
      </c>
      <c r="J242" s="342">
        <f t="shared" si="125"/>
        <v>0</v>
      </c>
      <c r="K242" s="342">
        <f t="shared" si="125"/>
        <v>0</v>
      </c>
      <c r="L242" s="342">
        <f t="shared" si="125"/>
        <v>170.1</v>
      </c>
      <c r="M242" s="342">
        <f t="shared" si="125"/>
        <v>170.1</v>
      </c>
      <c r="N242" s="342">
        <f t="shared" si="125"/>
        <v>0</v>
      </c>
      <c r="O242" s="342">
        <f t="shared" si="125"/>
        <v>0</v>
      </c>
      <c r="P242" s="342">
        <f t="shared" si="125"/>
        <v>0</v>
      </c>
      <c r="Q242" s="504"/>
      <c r="R242" s="420"/>
    </row>
    <row r="243" spans="3:18">
      <c r="C243" s="430"/>
      <c r="D243" s="431"/>
      <c r="E243" s="346" t="s">
        <v>229</v>
      </c>
      <c r="F243" s="28" t="s">
        <v>228</v>
      </c>
      <c r="G243" s="414"/>
      <c r="H243" s="414"/>
      <c r="I243" s="414"/>
      <c r="J243" s="414"/>
      <c r="K243" s="414"/>
      <c r="L243" s="414"/>
      <c r="M243" s="414"/>
      <c r="N243" s="414"/>
      <c r="O243" s="414"/>
      <c r="P243" s="414"/>
      <c r="Q243" s="504"/>
      <c r="R243" s="420"/>
    </row>
    <row r="244" spans="3:18">
      <c r="C244" s="432"/>
      <c r="D244" s="433"/>
      <c r="E244" s="346" t="s">
        <v>146</v>
      </c>
      <c r="F244" s="28" t="s">
        <v>207</v>
      </c>
      <c r="G244" s="424">
        <f t="shared" ref="G244:P244" si="126">IF(G243="",G242,G243)*G241</f>
        <v>1304028</v>
      </c>
      <c r="H244" s="424">
        <f t="shared" si="126"/>
        <v>0</v>
      </c>
      <c r="I244" s="424">
        <f t="shared" si="126"/>
        <v>0</v>
      </c>
      <c r="J244" s="424">
        <f t="shared" si="126"/>
        <v>0</v>
      </c>
      <c r="K244" s="424">
        <f t="shared" si="126"/>
        <v>0</v>
      </c>
      <c r="L244" s="424">
        <f t="shared" si="126"/>
        <v>0</v>
      </c>
      <c r="M244" s="424">
        <f t="shared" si="126"/>
        <v>0</v>
      </c>
      <c r="N244" s="424">
        <f t="shared" si="126"/>
        <v>0</v>
      </c>
      <c r="O244" s="424">
        <f t="shared" si="126"/>
        <v>0</v>
      </c>
      <c r="P244" s="424">
        <f t="shared" si="126"/>
        <v>0</v>
      </c>
      <c r="Q244" s="504"/>
      <c r="R244" s="420"/>
    </row>
    <row r="245" spans="3:18" ht="12" thickBot="1">
      <c r="C245" s="391"/>
      <c r="D245" s="373"/>
      <c r="E245" s="374" t="str">
        <f>C225</f>
        <v>Waste Disposal</v>
      </c>
      <c r="F245" s="72"/>
      <c r="G245" s="365">
        <f t="shared" ref="G245:P245" si="127">G236+G239+G244</f>
        <v>2514352.8287306502</v>
      </c>
      <c r="H245" s="365">
        <f t="shared" si="127"/>
        <v>0</v>
      </c>
      <c r="I245" s="365">
        <f t="shared" si="127"/>
        <v>0</v>
      </c>
      <c r="J245" s="365">
        <f t="shared" si="127"/>
        <v>0</v>
      </c>
      <c r="K245" s="365">
        <f t="shared" si="127"/>
        <v>0</v>
      </c>
      <c r="L245" s="365">
        <f t="shared" si="127"/>
        <v>0</v>
      </c>
      <c r="M245" s="365">
        <f t="shared" si="127"/>
        <v>0</v>
      </c>
      <c r="N245" s="365">
        <f t="shared" si="127"/>
        <v>0</v>
      </c>
      <c r="O245" s="365">
        <f t="shared" si="127"/>
        <v>0</v>
      </c>
      <c r="P245" s="365">
        <f t="shared" si="127"/>
        <v>0</v>
      </c>
      <c r="Q245" s="504"/>
      <c r="R245" s="420"/>
    </row>
    <row r="246" spans="3:18" ht="12" thickTop="1">
      <c r="C246" s="494" t="s">
        <v>589</v>
      </c>
      <c r="D246" s="431" t="s">
        <v>749</v>
      </c>
      <c r="E246" s="346" t="s">
        <v>591</v>
      </c>
      <c r="F246" s="28" t="s">
        <v>219</v>
      </c>
      <c r="G246" s="455"/>
      <c r="H246" s="455"/>
      <c r="I246" s="455"/>
      <c r="J246" s="455"/>
      <c r="K246" s="455"/>
      <c r="L246" s="455"/>
      <c r="M246" s="455"/>
      <c r="N246" s="455"/>
      <c r="O246" s="455"/>
      <c r="P246" s="455"/>
      <c r="Q246" s="504"/>
      <c r="R246" s="420"/>
    </row>
    <row r="247" spans="3:18">
      <c r="C247" s="383"/>
      <c r="D247" s="431"/>
      <c r="E247" s="346" t="s">
        <v>204</v>
      </c>
      <c r="F247" s="28" t="s">
        <v>352</v>
      </c>
      <c r="G247" s="342">
        <f>IF(G246=0,0,IF(G246&lt;=Biopile_minimum_volume_for_lump_sum_cost,'Cost Schedule'!$D$86,'Cost Schedule'!$D$87))</f>
        <v>0</v>
      </c>
      <c r="H247" s="342">
        <f>IF(H246=0,0,IF(H246&lt;=Biopile_minimum_volume_for_lump_sum_cost,'Cost Schedule'!$D$86,'Cost Schedule'!$D$87))</f>
        <v>0</v>
      </c>
      <c r="I247" s="342">
        <f>IF(I246=0,0,IF(I246&lt;=Biopile_minimum_volume_for_lump_sum_cost,'Cost Schedule'!$D$86,'Cost Schedule'!$D$87))</f>
        <v>0</v>
      </c>
      <c r="J247" s="342">
        <f>IF(J246=0,0,IF(J246&lt;=Biopile_minimum_volume_for_lump_sum_cost,'Cost Schedule'!$D$86,'Cost Schedule'!$D$87))</f>
        <v>0</v>
      </c>
      <c r="K247" s="342">
        <f>IF(K246=0,0,IF(K246&lt;=Biopile_minimum_volume_for_lump_sum_cost,'Cost Schedule'!$D$86,'Cost Schedule'!$D$87))</f>
        <v>0</v>
      </c>
      <c r="L247" s="342">
        <f>IF(L246=0,0,IF(L246&lt;=Biopile_minimum_volume_for_lump_sum_cost,'Cost Schedule'!$D$86,'Cost Schedule'!$D$87))</f>
        <v>0</v>
      </c>
      <c r="M247" s="342">
        <f>IF(M246=0,0,IF(M246&lt;=Biopile_minimum_volume_for_lump_sum_cost,'Cost Schedule'!$D$86,'Cost Schedule'!$D$87))</f>
        <v>0</v>
      </c>
      <c r="N247" s="342">
        <f>IF(N246=0,0,IF(N246&lt;=Biopile_minimum_volume_for_lump_sum_cost,'Cost Schedule'!$D$86,'Cost Schedule'!$D$87))</f>
        <v>0</v>
      </c>
      <c r="O247" s="342">
        <f>IF(O246=0,0,IF(O246&lt;=Biopile_minimum_volume_for_lump_sum_cost,'Cost Schedule'!$D$86,'Cost Schedule'!$D$87))</f>
        <v>0</v>
      </c>
      <c r="P247" s="342">
        <f>IF(P246=0,0,IF(P246&lt;=Biopile_minimum_volume_for_lump_sum_cost,'Cost Schedule'!$D$86,'Cost Schedule'!$D$87))</f>
        <v>0</v>
      </c>
      <c r="Q247" s="504"/>
      <c r="R247" s="420"/>
    </row>
    <row r="248" spans="3:18">
      <c r="C248" s="383"/>
      <c r="D248" s="431"/>
      <c r="E248" s="346" t="s">
        <v>592</v>
      </c>
      <c r="F248" s="28" t="s">
        <v>592</v>
      </c>
      <c r="G248" s="447" t="str">
        <f t="shared" ref="G248:P248" si="128">IF(G246&lt;=Biopile_minimum_volume_for_lump_sum_cost,"$","$/m3")</f>
        <v>$</v>
      </c>
      <c r="H248" s="447" t="str">
        <f t="shared" si="128"/>
        <v>$</v>
      </c>
      <c r="I248" s="447" t="str">
        <f t="shared" si="128"/>
        <v>$</v>
      </c>
      <c r="J248" s="447" t="str">
        <f t="shared" si="128"/>
        <v>$</v>
      </c>
      <c r="K248" s="447" t="str">
        <f t="shared" si="128"/>
        <v>$</v>
      </c>
      <c r="L248" s="447" t="str">
        <f t="shared" si="128"/>
        <v>$</v>
      </c>
      <c r="M248" s="447" t="str">
        <f t="shared" si="128"/>
        <v>$</v>
      </c>
      <c r="N248" s="447" t="str">
        <f t="shared" si="128"/>
        <v>$</v>
      </c>
      <c r="O248" s="447" t="str">
        <f t="shared" si="128"/>
        <v>$</v>
      </c>
      <c r="P248" s="447" t="str">
        <f t="shared" si="128"/>
        <v>$</v>
      </c>
      <c r="Q248" s="504"/>
      <c r="R248" s="420"/>
    </row>
    <row r="249" spans="3:18">
      <c r="C249" s="383"/>
      <c r="D249" s="431"/>
      <c r="E249" s="346" t="s">
        <v>229</v>
      </c>
      <c r="F249" s="28" t="s">
        <v>593</v>
      </c>
      <c r="G249" s="414"/>
      <c r="H249" s="414"/>
      <c r="I249" s="414"/>
      <c r="J249" s="414"/>
      <c r="K249" s="414"/>
      <c r="L249" s="414"/>
      <c r="M249" s="414"/>
      <c r="N249" s="414"/>
      <c r="O249" s="414"/>
      <c r="P249" s="414"/>
      <c r="Q249" s="504"/>
      <c r="R249" s="420"/>
    </row>
    <row r="250" spans="3:18">
      <c r="C250" s="383"/>
      <c r="D250" s="431"/>
      <c r="E250" s="346" t="s">
        <v>146</v>
      </c>
      <c r="F250" s="28" t="s">
        <v>207</v>
      </c>
      <c r="G250" s="448">
        <f t="shared" ref="G250:P250" si="129">IF(AND(G246&lt;=Biopile_minimum_volume_for_lump_sum_cost,G249=""),G247,IF(AND(G246&lt;=Biopile_minimum_volume_for_lump_sum_cost,G249&lt;&gt;""),G249,G246*IF(G249="",G247,G249)))</f>
        <v>0</v>
      </c>
      <c r="H250" s="448">
        <f t="shared" si="129"/>
        <v>0</v>
      </c>
      <c r="I250" s="448">
        <f t="shared" si="129"/>
        <v>0</v>
      </c>
      <c r="J250" s="448">
        <f t="shared" si="129"/>
        <v>0</v>
      </c>
      <c r="K250" s="448">
        <f t="shared" si="129"/>
        <v>0</v>
      </c>
      <c r="L250" s="448">
        <f t="shared" si="129"/>
        <v>0</v>
      </c>
      <c r="M250" s="448">
        <f t="shared" si="129"/>
        <v>0</v>
      </c>
      <c r="N250" s="448">
        <f t="shared" si="129"/>
        <v>0</v>
      </c>
      <c r="O250" s="448">
        <f t="shared" si="129"/>
        <v>0</v>
      </c>
      <c r="P250" s="448">
        <f t="shared" si="129"/>
        <v>0</v>
      </c>
      <c r="Q250" s="504"/>
      <c r="R250" s="420"/>
    </row>
    <row r="251" spans="3:18" ht="33.75">
      <c r="C251" s="383"/>
      <c r="D251" s="429" t="s">
        <v>594</v>
      </c>
      <c r="E251" s="346" t="s">
        <v>311</v>
      </c>
      <c r="F251" s="28" t="s">
        <v>123</v>
      </c>
      <c r="G251" s="456" t="s">
        <v>596</v>
      </c>
      <c r="H251" s="456" t="s">
        <v>595</v>
      </c>
      <c r="I251" s="456" t="s">
        <v>595</v>
      </c>
      <c r="J251" s="456" t="s">
        <v>595</v>
      </c>
      <c r="K251" s="456" t="s">
        <v>595</v>
      </c>
      <c r="L251" s="456" t="s">
        <v>595</v>
      </c>
      <c r="M251" s="456" t="s">
        <v>595</v>
      </c>
      <c r="N251" s="456" t="s">
        <v>595</v>
      </c>
      <c r="O251" s="456" t="s">
        <v>595</v>
      </c>
      <c r="P251" s="456" t="s">
        <v>595</v>
      </c>
      <c r="Q251" s="504"/>
      <c r="R251" s="420"/>
    </row>
    <row r="252" spans="3:18">
      <c r="C252" s="383"/>
      <c r="D252" s="431"/>
      <c r="E252" s="346" t="s">
        <v>355</v>
      </c>
      <c r="G252" s="455"/>
      <c r="H252" s="455"/>
      <c r="I252" s="455"/>
      <c r="J252" s="455"/>
      <c r="K252" s="455"/>
      <c r="L252" s="455"/>
      <c r="M252" s="455"/>
      <c r="N252" s="455"/>
      <c r="O252" s="455"/>
      <c r="P252" s="455"/>
      <c r="Q252" s="504"/>
      <c r="R252" s="420"/>
    </row>
    <row r="253" spans="3:18">
      <c r="C253" s="383"/>
      <c r="D253" s="431"/>
      <c r="E253" s="346" t="s">
        <v>353</v>
      </c>
      <c r="G253" s="385" t="str">
        <f t="shared" ref="G253:P253" si="130">_xlfn.XLOOKUP(G251,Contaminated_soil_names_CS,Contaminated_soil_units_CS)</f>
        <v>t</v>
      </c>
      <c r="H253" s="385" t="str">
        <f t="shared" si="130"/>
        <v>m3</v>
      </c>
      <c r="I253" s="385" t="str">
        <f t="shared" si="130"/>
        <v>m3</v>
      </c>
      <c r="J253" s="385" t="str">
        <f t="shared" si="130"/>
        <v>m3</v>
      </c>
      <c r="K253" s="385" t="str">
        <f t="shared" si="130"/>
        <v>m3</v>
      </c>
      <c r="L253" s="385" t="str">
        <f t="shared" si="130"/>
        <v>m3</v>
      </c>
      <c r="M253" s="385" t="str">
        <f t="shared" si="130"/>
        <v>m3</v>
      </c>
      <c r="N253" s="385" t="str">
        <f t="shared" si="130"/>
        <v>m3</v>
      </c>
      <c r="O253" s="385" t="str">
        <f t="shared" si="130"/>
        <v>m3</v>
      </c>
      <c r="P253" s="385" t="str">
        <f t="shared" si="130"/>
        <v>m3</v>
      </c>
      <c r="Q253" s="504"/>
      <c r="R253" s="420"/>
    </row>
    <row r="254" spans="3:18">
      <c r="C254" s="383"/>
      <c r="D254" s="431"/>
      <c r="E254" s="346" t="s">
        <v>227</v>
      </c>
      <c r="F254" s="28" t="s">
        <v>352</v>
      </c>
      <c r="G254" s="342">
        <f t="shared" ref="G254:P254" si="131">_xlfn.XLOOKUP(G251,Contaminated_soil_names_CS,Contaminated_soil_rates_CS)</f>
        <v>400</v>
      </c>
      <c r="H254" s="342">
        <f t="shared" si="131"/>
        <v>34.320540423513727</v>
      </c>
      <c r="I254" s="342">
        <f t="shared" si="131"/>
        <v>34.320540423513727</v>
      </c>
      <c r="J254" s="342">
        <f t="shared" si="131"/>
        <v>34.320540423513727</v>
      </c>
      <c r="K254" s="342">
        <f t="shared" si="131"/>
        <v>34.320540423513727</v>
      </c>
      <c r="L254" s="342">
        <f t="shared" si="131"/>
        <v>34.320540423513727</v>
      </c>
      <c r="M254" s="342">
        <f t="shared" si="131"/>
        <v>34.320540423513727</v>
      </c>
      <c r="N254" s="342">
        <f t="shared" si="131"/>
        <v>34.320540423513727</v>
      </c>
      <c r="O254" s="342">
        <f t="shared" si="131"/>
        <v>34.320540423513727</v>
      </c>
      <c r="P254" s="342">
        <f t="shared" si="131"/>
        <v>34.320540423513727</v>
      </c>
      <c r="Q254" s="504"/>
      <c r="R254" s="420"/>
    </row>
    <row r="255" spans="3:18">
      <c r="C255" s="383"/>
      <c r="D255" s="431"/>
      <c r="E255" s="346" t="s">
        <v>229</v>
      </c>
      <c r="F255" s="28" t="s">
        <v>352</v>
      </c>
      <c r="G255" s="414"/>
      <c r="H255" s="414"/>
      <c r="I255" s="414"/>
      <c r="J255" s="414"/>
      <c r="K255" s="414"/>
      <c r="L255" s="414"/>
      <c r="M255" s="414"/>
      <c r="N255" s="414"/>
      <c r="O255" s="414"/>
      <c r="P255" s="414"/>
      <c r="Q255" s="504"/>
      <c r="R255" s="420"/>
    </row>
    <row r="256" spans="3:18">
      <c r="C256" s="383"/>
      <c r="D256" s="433"/>
      <c r="E256" s="346" t="s">
        <v>146</v>
      </c>
      <c r="F256" s="28" t="s">
        <v>207</v>
      </c>
      <c r="G256" s="424">
        <f t="shared" ref="G256:P256" si="132">IF(G255="",G254,G255)*G252</f>
        <v>0</v>
      </c>
      <c r="H256" s="424">
        <f t="shared" si="132"/>
        <v>0</v>
      </c>
      <c r="I256" s="424">
        <f t="shared" si="132"/>
        <v>0</v>
      </c>
      <c r="J256" s="424">
        <f t="shared" si="132"/>
        <v>0</v>
      </c>
      <c r="K256" s="424">
        <f t="shared" si="132"/>
        <v>0</v>
      </c>
      <c r="L256" s="424">
        <f t="shared" si="132"/>
        <v>0</v>
      </c>
      <c r="M256" s="424">
        <f t="shared" si="132"/>
        <v>0</v>
      </c>
      <c r="N256" s="424">
        <f t="shared" si="132"/>
        <v>0</v>
      </c>
      <c r="O256" s="424">
        <f t="shared" si="132"/>
        <v>0</v>
      </c>
      <c r="P256" s="424">
        <f t="shared" si="132"/>
        <v>0</v>
      </c>
      <c r="Q256" s="504"/>
      <c r="R256" s="420"/>
    </row>
    <row r="257" spans="2:18" ht="33.75">
      <c r="C257" s="495" t="s">
        <v>597</v>
      </c>
      <c r="D257" s="429" t="s">
        <v>750</v>
      </c>
      <c r="E257" s="346" t="s">
        <v>311</v>
      </c>
      <c r="F257" s="28" t="s">
        <v>123</v>
      </c>
      <c r="G257" s="456" t="s">
        <v>599</v>
      </c>
      <c r="H257" s="456" t="s">
        <v>599</v>
      </c>
      <c r="I257" s="456" t="s">
        <v>599</v>
      </c>
      <c r="J257" s="456" t="s">
        <v>599</v>
      </c>
      <c r="K257" s="456" t="s">
        <v>599</v>
      </c>
      <c r="L257" s="456" t="s">
        <v>599</v>
      </c>
      <c r="M257" s="456" t="s">
        <v>599</v>
      </c>
      <c r="N257" s="456" t="s">
        <v>599</v>
      </c>
      <c r="O257" s="456" t="s">
        <v>599</v>
      </c>
      <c r="P257" s="456" t="s">
        <v>599</v>
      </c>
      <c r="Q257" s="504"/>
      <c r="R257" s="420" t="s">
        <v>600</v>
      </c>
    </row>
    <row r="258" spans="2:18">
      <c r="C258" s="383"/>
      <c r="D258" s="431"/>
      <c r="E258" s="346" t="s">
        <v>355</v>
      </c>
      <c r="F258" s="28" t="s">
        <v>219</v>
      </c>
      <c r="G258" s="455"/>
      <c r="H258" s="455"/>
      <c r="I258" s="455"/>
      <c r="J258" s="455"/>
      <c r="K258" s="455"/>
      <c r="L258" s="455"/>
      <c r="M258" s="455"/>
      <c r="N258" s="455"/>
      <c r="O258" s="455"/>
      <c r="P258" s="455"/>
      <c r="Q258" s="504"/>
      <c r="R258" s="420"/>
    </row>
    <row r="259" spans="2:18">
      <c r="C259" s="383"/>
      <c r="D259" s="431"/>
      <c r="E259" s="346" t="s">
        <v>227</v>
      </c>
      <c r="F259" s="28" t="s">
        <v>352</v>
      </c>
      <c r="G259" s="342">
        <f t="shared" ref="G259:P259" si="133">_xlfn.XLOOKUP(G257,Load_haul_stabilised_names_CS,Load_haul_stabilised_rates_CS)</f>
        <v>3.6305227410650791</v>
      </c>
      <c r="H259" s="342">
        <f t="shared" si="133"/>
        <v>3.6305227410650791</v>
      </c>
      <c r="I259" s="342">
        <f t="shared" si="133"/>
        <v>3.6305227410650791</v>
      </c>
      <c r="J259" s="342">
        <f t="shared" si="133"/>
        <v>3.6305227410650791</v>
      </c>
      <c r="K259" s="342">
        <f t="shared" si="133"/>
        <v>3.6305227410650791</v>
      </c>
      <c r="L259" s="342">
        <f t="shared" si="133"/>
        <v>3.6305227410650791</v>
      </c>
      <c r="M259" s="342">
        <f t="shared" si="133"/>
        <v>3.6305227410650791</v>
      </c>
      <c r="N259" s="342">
        <f t="shared" si="133"/>
        <v>3.6305227410650791</v>
      </c>
      <c r="O259" s="342">
        <f t="shared" si="133"/>
        <v>3.6305227410650791</v>
      </c>
      <c r="P259" s="342">
        <f t="shared" si="133"/>
        <v>3.6305227410650791</v>
      </c>
      <c r="Q259" s="504"/>
      <c r="R259" s="420"/>
    </row>
    <row r="260" spans="2:18">
      <c r="C260" s="383"/>
      <c r="D260" s="431"/>
      <c r="E260" s="346" t="s">
        <v>229</v>
      </c>
      <c r="F260" s="28" t="s">
        <v>352</v>
      </c>
      <c r="G260" s="414"/>
      <c r="H260" s="414"/>
      <c r="I260" s="414"/>
      <c r="J260" s="414"/>
      <c r="K260" s="414"/>
      <c r="L260" s="414"/>
      <c r="M260" s="414"/>
      <c r="N260" s="414"/>
      <c r="O260" s="414"/>
      <c r="P260" s="414"/>
      <c r="Q260" s="504"/>
      <c r="R260" s="420"/>
    </row>
    <row r="261" spans="2:18">
      <c r="C261" s="386"/>
      <c r="D261" s="433"/>
      <c r="E261" s="346" t="s">
        <v>146</v>
      </c>
      <c r="F261" s="28" t="s">
        <v>207</v>
      </c>
      <c r="G261" s="424">
        <f t="shared" ref="G261:P261" si="134">IF(G260="",G259,G260)*G258</f>
        <v>0</v>
      </c>
      <c r="H261" s="424">
        <f t="shared" si="134"/>
        <v>0</v>
      </c>
      <c r="I261" s="424">
        <f t="shared" si="134"/>
        <v>0</v>
      </c>
      <c r="J261" s="424">
        <f t="shared" si="134"/>
        <v>0</v>
      </c>
      <c r="K261" s="424">
        <f t="shared" si="134"/>
        <v>0</v>
      </c>
      <c r="L261" s="424">
        <f t="shared" si="134"/>
        <v>0</v>
      </c>
      <c r="M261" s="424">
        <f t="shared" si="134"/>
        <v>0</v>
      </c>
      <c r="N261" s="424">
        <f t="shared" si="134"/>
        <v>0</v>
      </c>
      <c r="O261" s="424">
        <f t="shared" si="134"/>
        <v>0</v>
      </c>
      <c r="P261" s="424">
        <f t="shared" si="134"/>
        <v>0</v>
      </c>
      <c r="Q261" s="504"/>
      <c r="R261" s="420"/>
    </row>
    <row r="262" spans="2:18" ht="12" thickBot="1">
      <c r="C262" s="496"/>
      <c r="D262" s="497"/>
      <c r="E262" s="374" t="str">
        <f>C246</f>
        <v>Contaminated soil treat on-site</v>
      </c>
      <c r="F262" s="72"/>
      <c r="G262" s="365">
        <f t="shared" ref="G262:P262" si="135">G250+G256+G261</f>
        <v>0</v>
      </c>
      <c r="H262" s="365">
        <f t="shared" si="135"/>
        <v>0</v>
      </c>
      <c r="I262" s="365">
        <f t="shared" si="135"/>
        <v>0</v>
      </c>
      <c r="J262" s="365">
        <f t="shared" si="135"/>
        <v>0</v>
      </c>
      <c r="K262" s="365">
        <f t="shared" si="135"/>
        <v>0</v>
      </c>
      <c r="L262" s="365">
        <f t="shared" si="135"/>
        <v>0</v>
      </c>
      <c r="M262" s="365">
        <f t="shared" si="135"/>
        <v>0</v>
      </c>
      <c r="N262" s="365">
        <f t="shared" si="135"/>
        <v>0</v>
      </c>
      <c r="O262" s="365">
        <f t="shared" si="135"/>
        <v>0</v>
      </c>
      <c r="P262" s="365">
        <f t="shared" si="135"/>
        <v>0</v>
      </c>
      <c r="Q262" s="504"/>
      <c r="R262" s="420"/>
    </row>
    <row r="263" spans="2:18" ht="12" thickTop="1">
      <c r="C263" s="466" t="s">
        <v>751</v>
      </c>
      <c r="D263" s="510" t="s">
        <v>751</v>
      </c>
      <c r="E263" s="510" t="s">
        <v>751</v>
      </c>
      <c r="F263" s="28" t="s">
        <v>207</v>
      </c>
      <c r="G263" s="468">
        <v>0</v>
      </c>
      <c r="H263" s="468">
        <v>0</v>
      </c>
      <c r="I263" s="468">
        <v>0</v>
      </c>
      <c r="J263" s="468">
        <v>0</v>
      </c>
      <c r="K263" s="468">
        <v>0</v>
      </c>
      <c r="L263" s="468">
        <v>0</v>
      </c>
      <c r="M263" s="468">
        <v>0</v>
      </c>
      <c r="N263" s="468">
        <v>0</v>
      </c>
      <c r="O263" s="468">
        <v>0</v>
      </c>
      <c r="P263" s="468">
        <v>0</v>
      </c>
      <c r="Q263" s="504"/>
      <c r="R263" s="420"/>
    </row>
    <row r="264" spans="2:18">
      <c r="C264" s="466" t="s">
        <v>751</v>
      </c>
      <c r="D264" s="510" t="s">
        <v>751</v>
      </c>
      <c r="E264" s="510" t="s">
        <v>751</v>
      </c>
      <c r="F264" s="28" t="s">
        <v>207</v>
      </c>
      <c r="G264" s="468">
        <v>0</v>
      </c>
      <c r="H264" s="468">
        <v>0</v>
      </c>
      <c r="I264" s="468">
        <v>0</v>
      </c>
      <c r="J264" s="468">
        <v>0</v>
      </c>
      <c r="K264" s="468">
        <v>0</v>
      </c>
      <c r="L264" s="468">
        <v>0</v>
      </c>
      <c r="M264" s="468">
        <v>0</v>
      </c>
      <c r="N264" s="468">
        <v>0</v>
      </c>
      <c r="O264" s="468">
        <v>0</v>
      </c>
      <c r="P264" s="468">
        <v>0</v>
      </c>
      <c r="Q264" s="504"/>
      <c r="R264" s="420"/>
    </row>
    <row r="265" spans="2:18">
      <c r="C265" s="466" t="s">
        <v>751</v>
      </c>
      <c r="D265" s="510" t="s">
        <v>751</v>
      </c>
      <c r="E265" s="510" t="s">
        <v>751</v>
      </c>
      <c r="F265" s="28" t="s">
        <v>207</v>
      </c>
      <c r="G265" s="468">
        <v>0</v>
      </c>
      <c r="H265" s="468">
        <v>0</v>
      </c>
      <c r="I265" s="468">
        <v>0</v>
      </c>
      <c r="J265" s="468">
        <v>0</v>
      </c>
      <c r="K265" s="468">
        <v>0</v>
      </c>
      <c r="L265" s="468">
        <v>0</v>
      </c>
      <c r="M265" s="468">
        <v>0</v>
      </c>
      <c r="N265" s="468">
        <v>0</v>
      </c>
      <c r="O265" s="468">
        <v>0</v>
      </c>
      <c r="P265" s="468">
        <v>0</v>
      </c>
      <c r="Q265" s="504"/>
      <c r="R265" s="420"/>
    </row>
    <row r="266" spans="2:18">
      <c r="C266" s="466" t="s">
        <v>751</v>
      </c>
      <c r="D266" s="510" t="s">
        <v>751</v>
      </c>
      <c r="E266" s="510" t="s">
        <v>751</v>
      </c>
      <c r="F266" s="28" t="s">
        <v>207</v>
      </c>
      <c r="G266" s="468">
        <v>0</v>
      </c>
      <c r="H266" s="468">
        <v>0</v>
      </c>
      <c r="I266" s="468">
        <v>0</v>
      </c>
      <c r="J266" s="468">
        <v>0</v>
      </c>
      <c r="K266" s="468">
        <v>0</v>
      </c>
      <c r="L266" s="468">
        <v>0</v>
      </c>
      <c r="M266" s="468">
        <v>0</v>
      </c>
      <c r="N266" s="468">
        <v>0</v>
      </c>
      <c r="O266" s="468">
        <v>0</v>
      </c>
      <c r="P266" s="468">
        <v>0</v>
      </c>
      <c r="Q266" s="504"/>
      <c r="R266" s="420"/>
    </row>
    <row r="267" spans="2:18">
      <c r="C267" s="466" t="s">
        <v>751</v>
      </c>
      <c r="D267" s="510" t="s">
        <v>751</v>
      </c>
      <c r="E267" s="510" t="s">
        <v>751</v>
      </c>
      <c r="F267" s="28" t="s">
        <v>207</v>
      </c>
      <c r="G267" s="468">
        <v>0</v>
      </c>
      <c r="H267" s="468">
        <v>0</v>
      </c>
      <c r="I267" s="468">
        <v>0</v>
      </c>
      <c r="J267" s="468">
        <v>0</v>
      </c>
      <c r="K267" s="468">
        <v>0</v>
      </c>
      <c r="L267" s="468">
        <v>0</v>
      </c>
      <c r="M267" s="468">
        <v>0</v>
      </c>
      <c r="N267" s="468">
        <v>0</v>
      </c>
      <c r="O267" s="468">
        <v>0</v>
      </c>
      <c r="P267" s="468">
        <v>0</v>
      </c>
      <c r="Q267" s="504"/>
      <c r="R267" s="420"/>
    </row>
    <row r="268" spans="2:18" ht="12" thickBot="1">
      <c r="C268" s="372"/>
      <c r="D268" s="373"/>
      <c r="E268" s="374" t="s">
        <v>173</v>
      </c>
      <c r="F268" s="72"/>
      <c r="G268" s="365">
        <f t="shared" ref="G268:J268" si="136">SUM(G263:G267)</f>
        <v>0</v>
      </c>
      <c r="H268" s="365">
        <f t="shared" si="136"/>
        <v>0</v>
      </c>
      <c r="I268" s="365">
        <f t="shared" si="136"/>
        <v>0</v>
      </c>
      <c r="J268" s="365">
        <f t="shared" si="136"/>
        <v>0</v>
      </c>
      <c r="K268" s="365">
        <f t="shared" ref="K268:P268" si="137">SUM(K263:K267)</f>
        <v>0</v>
      </c>
      <c r="L268" s="365">
        <f t="shared" si="137"/>
        <v>0</v>
      </c>
      <c r="M268" s="365">
        <f t="shared" si="137"/>
        <v>0</v>
      </c>
      <c r="N268" s="365">
        <f t="shared" si="137"/>
        <v>0</v>
      </c>
      <c r="O268" s="365">
        <f t="shared" si="137"/>
        <v>0</v>
      </c>
      <c r="P268" s="365">
        <f t="shared" si="137"/>
        <v>0</v>
      </c>
      <c r="Q268" s="504"/>
      <c r="R268" s="420"/>
    </row>
    <row r="269" spans="2:18" ht="12" thickTop="1">
      <c r="C269" s="498"/>
      <c r="D269" s="498"/>
      <c r="E269" s="498"/>
      <c r="F269" s="498"/>
      <c r="G269" s="498"/>
      <c r="H269" s="498"/>
      <c r="I269" s="498"/>
      <c r="J269" s="498"/>
      <c r="K269" s="498"/>
      <c r="L269" s="498"/>
      <c r="M269" s="498"/>
      <c r="N269" s="498"/>
      <c r="O269" s="498"/>
      <c r="P269" s="498"/>
      <c r="Q269" s="498"/>
      <c r="R269" s="498"/>
    </row>
    <row r="270" spans="2:18">
      <c r="B270" s="469"/>
      <c r="C270" s="499" t="s">
        <v>601</v>
      </c>
      <c r="D270" s="498"/>
      <c r="E270" s="498"/>
      <c r="F270" s="498"/>
      <c r="G270" s="498"/>
      <c r="H270" s="498"/>
      <c r="I270" s="498"/>
      <c r="J270" s="498"/>
      <c r="K270" s="498"/>
      <c r="L270" s="498"/>
      <c r="M270" s="498"/>
      <c r="N270" s="498"/>
      <c r="O270" s="498"/>
      <c r="P270" s="498"/>
      <c r="Q270" s="498"/>
      <c r="R270" s="498"/>
    </row>
    <row r="271" spans="2:18" hidden="1">
      <c r="B271" s="94" t="s">
        <v>533</v>
      </c>
      <c r="C271" s="131" t="s">
        <v>602</v>
      </c>
      <c r="G271" s="28"/>
      <c r="H271" s="28"/>
      <c r="I271" s="28"/>
      <c r="J271" s="28"/>
      <c r="K271" s="28"/>
      <c r="L271" s="28"/>
      <c r="M271" s="28"/>
      <c r="N271" s="28"/>
      <c r="O271" s="28"/>
      <c r="P271" s="28"/>
    </row>
    <row r="272" spans="2:18" ht="12" hidden="1" thickBot="1">
      <c r="B272" s="94" t="s">
        <v>533</v>
      </c>
      <c r="C272" s="212" t="s">
        <v>185</v>
      </c>
      <c r="D272" s="120" t="s">
        <v>186</v>
      </c>
      <c r="E272" s="120" t="s">
        <v>187</v>
      </c>
      <c r="F272" s="116" t="s">
        <v>592</v>
      </c>
      <c r="G272" s="511" t="s">
        <v>696</v>
      </c>
      <c r="H272" s="511" t="s">
        <v>696</v>
      </c>
      <c r="I272" s="511" t="s">
        <v>696</v>
      </c>
      <c r="J272" s="511" t="s">
        <v>696</v>
      </c>
      <c r="K272" s="511" t="s">
        <v>696</v>
      </c>
      <c r="L272" s="511" t="s">
        <v>696</v>
      </c>
      <c r="M272" s="511" t="s">
        <v>696</v>
      </c>
      <c r="N272" s="511" t="s">
        <v>696</v>
      </c>
      <c r="O272" s="511" t="s">
        <v>696</v>
      </c>
      <c r="P272" s="511" t="s">
        <v>696</v>
      </c>
      <c r="Q272" s="213" t="s">
        <v>190</v>
      </c>
      <c r="R272" s="43" t="s">
        <v>191</v>
      </c>
    </row>
    <row r="273" spans="2:18" hidden="1">
      <c r="B273" s="94" t="s">
        <v>533</v>
      </c>
      <c r="C273" s="210" t="s">
        <v>124</v>
      </c>
      <c r="D273" s="500"/>
      <c r="E273" s="500"/>
      <c r="F273" s="504"/>
      <c r="G273" s="504"/>
      <c r="H273" s="504"/>
      <c r="I273" s="504"/>
      <c r="J273" s="504"/>
      <c r="K273" s="504"/>
      <c r="L273" s="504"/>
      <c r="M273" s="504"/>
      <c r="N273" s="504"/>
      <c r="O273" s="504"/>
      <c r="P273" s="504"/>
      <c r="Q273" s="504"/>
      <c r="R273" s="44"/>
    </row>
    <row r="274" spans="2:18" hidden="1">
      <c r="B274" s="94" t="s">
        <v>533</v>
      </c>
      <c r="C274" s="187" t="s">
        <v>752</v>
      </c>
      <c r="D274" s="204" t="s">
        <v>700</v>
      </c>
      <c r="E274" s="204" t="s">
        <v>701</v>
      </c>
      <c r="G274" s="512" t="s">
        <v>753</v>
      </c>
      <c r="H274" s="512" t="s">
        <v>24</v>
      </c>
      <c r="I274" s="512" t="s">
        <v>24</v>
      </c>
      <c r="J274" s="512" t="s">
        <v>754</v>
      </c>
      <c r="K274" s="512" t="s">
        <v>753</v>
      </c>
      <c r="L274" s="512" t="s">
        <v>753</v>
      </c>
      <c r="M274" s="512" t="s">
        <v>753</v>
      </c>
      <c r="N274" s="512" t="s">
        <v>753</v>
      </c>
      <c r="O274" s="512" t="s">
        <v>753</v>
      </c>
      <c r="P274" s="512" t="s">
        <v>753</v>
      </c>
      <c r="Q274" s="513"/>
      <c r="R274" s="49"/>
    </row>
    <row r="275" spans="2:18" hidden="1">
      <c r="B275" s="94" t="s">
        <v>533</v>
      </c>
      <c r="C275" s="183"/>
      <c r="D275" s="184" t="s">
        <v>755</v>
      </c>
      <c r="E275" s="182" t="s">
        <v>194</v>
      </c>
      <c r="F275" s="28" t="s">
        <v>211</v>
      </c>
      <c r="G275" s="514"/>
      <c r="H275" s="514"/>
      <c r="I275" s="514"/>
      <c r="J275" s="514"/>
      <c r="K275" s="514"/>
      <c r="L275" s="514"/>
      <c r="M275" s="514"/>
      <c r="N275" s="514"/>
      <c r="O275" s="514"/>
      <c r="P275" s="514"/>
      <c r="Q275" s="504"/>
      <c r="R275" s="55"/>
    </row>
    <row r="276" spans="2:18" hidden="1">
      <c r="B276" s="94" t="s">
        <v>533</v>
      </c>
      <c r="C276" s="185"/>
      <c r="D276" s="184" t="s">
        <v>705</v>
      </c>
      <c r="E276" s="182" t="s">
        <v>214</v>
      </c>
      <c r="F276" s="28" t="s">
        <v>299</v>
      </c>
      <c r="G276" s="455"/>
      <c r="H276" s="455"/>
      <c r="I276" s="455"/>
      <c r="J276" s="455"/>
      <c r="K276" s="455"/>
      <c r="L276" s="455"/>
      <c r="M276" s="455"/>
      <c r="N276" s="455"/>
      <c r="O276" s="455"/>
      <c r="P276" s="455"/>
      <c r="Q276" s="504"/>
      <c r="R276" s="49"/>
    </row>
    <row r="277" spans="2:18" hidden="1">
      <c r="B277" s="94" t="s">
        <v>533</v>
      </c>
      <c r="C277" s="191" t="s">
        <v>756</v>
      </c>
      <c r="D277" s="186" t="s">
        <v>757</v>
      </c>
      <c r="E277" s="186" t="s">
        <v>214</v>
      </c>
      <c r="F277" s="28" t="s">
        <v>299</v>
      </c>
      <c r="G277" s="455"/>
      <c r="H277" s="455"/>
      <c r="I277" s="455"/>
      <c r="J277" s="455"/>
      <c r="K277" s="455"/>
      <c r="L277" s="455"/>
      <c r="M277" s="455"/>
      <c r="N277" s="455"/>
      <c r="O277" s="455"/>
      <c r="P277" s="455"/>
      <c r="Q277" s="504"/>
      <c r="R277" s="49"/>
    </row>
    <row r="278" spans="2:18" hidden="1">
      <c r="B278" s="94" t="s">
        <v>533</v>
      </c>
      <c r="C278" s="200"/>
      <c r="D278" s="188"/>
      <c r="E278" s="205" t="str">
        <f>C274</f>
        <v>Heap Leach Pad (User Build)</v>
      </c>
      <c r="F278" s="72"/>
      <c r="G278" s="63"/>
      <c r="H278" s="63"/>
      <c r="I278" s="63"/>
      <c r="J278" s="63"/>
      <c r="K278" s="63"/>
      <c r="L278" s="63"/>
      <c r="M278" s="63"/>
      <c r="N278" s="63"/>
      <c r="O278" s="63"/>
      <c r="P278" s="63"/>
      <c r="Q278" s="504"/>
      <c r="R278" s="49"/>
    </row>
    <row r="279" spans="2:18" ht="22.5" hidden="1">
      <c r="B279" s="94" t="s">
        <v>533</v>
      </c>
      <c r="C279" s="211" t="s">
        <v>758</v>
      </c>
      <c r="D279" s="192" t="s">
        <v>757</v>
      </c>
      <c r="E279" s="186" t="s">
        <v>759</v>
      </c>
      <c r="F279" s="28" t="s">
        <v>211</v>
      </c>
      <c r="G279" s="70">
        <f>_xlfn.XLOOKUP(G$274,'Assumptions - Capping'!$E$4:$H$4,'Assumptions - Capping'!$E$24:$H$24)</f>
        <v>1</v>
      </c>
      <c r="H279" s="70">
        <f>_xlfn.XLOOKUP(H$274,'Assumptions - Capping'!$E$4:$H$4,'Assumptions - Capping'!$E$24:$H$24)</f>
        <v>1</v>
      </c>
      <c r="I279" s="70">
        <f>_xlfn.XLOOKUP(I$274,'Assumptions - Capping'!$E$4:$H$4,'Assumptions - Capping'!$E$24:$H$24)</f>
        <v>1</v>
      </c>
      <c r="J279" s="70">
        <f>_xlfn.XLOOKUP(J$274,'Assumptions - Capping'!$E$4:$H$4,'Assumptions - Capping'!$E$24:$H$24)</f>
        <v>1</v>
      </c>
      <c r="K279" s="70">
        <f>_xlfn.XLOOKUP(K$274,'Assumptions - Capping'!$E$4:$H$4,'Assumptions - Capping'!$E$24:$H$24)</f>
        <v>1</v>
      </c>
      <c r="L279" s="70">
        <f>_xlfn.XLOOKUP(L$274,'Assumptions - Capping'!$E$4:$H$4,'Assumptions - Capping'!$E$24:$H$24)</f>
        <v>1</v>
      </c>
      <c r="M279" s="70">
        <f>_xlfn.XLOOKUP(M$274,'Assumptions - Capping'!$E$4:$H$4,'Assumptions - Capping'!$E$24:$H$24)</f>
        <v>1</v>
      </c>
      <c r="N279" s="70">
        <f>_xlfn.XLOOKUP(N$274,'Assumptions - Capping'!$E$4:$H$4,'Assumptions - Capping'!$E$24:$H$24)</f>
        <v>1</v>
      </c>
      <c r="O279" s="70">
        <f>_xlfn.XLOOKUP(O$274,'Assumptions - Capping'!$E$4:$H$4,'Assumptions - Capping'!$E$24:$H$24)</f>
        <v>1</v>
      </c>
      <c r="P279" s="70">
        <f>_xlfn.XLOOKUP(P$274,'Assumptions - Capping'!$E$4:$H$4,'Assumptions - Capping'!$E$24:$H$24)</f>
        <v>1</v>
      </c>
      <c r="Q279" s="504"/>
      <c r="R279" s="49"/>
    </row>
    <row r="280" spans="2:18" hidden="1">
      <c r="B280" s="94" t="s">
        <v>533</v>
      </c>
      <c r="C280" s="183"/>
      <c r="D280" s="194"/>
      <c r="E280" s="186" t="s">
        <v>760</v>
      </c>
      <c r="F280" s="28" t="s">
        <v>211</v>
      </c>
      <c r="G280" s="411"/>
      <c r="H280" s="411"/>
      <c r="I280" s="411"/>
      <c r="J280" s="411"/>
      <c r="K280" s="411"/>
      <c r="L280" s="411"/>
      <c r="M280" s="411"/>
      <c r="N280" s="411"/>
      <c r="O280" s="411"/>
      <c r="P280" s="411"/>
      <c r="Q280" s="504"/>
      <c r="R280" s="49"/>
    </row>
    <row r="281" spans="2:18" hidden="1">
      <c r="B281" s="94" t="s">
        <v>533</v>
      </c>
      <c r="C281" s="183"/>
      <c r="D281" s="194"/>
      <c r="E281" s="186" t="s">
        <v>761</v>
      </c>
      <c r="F281" s="28" t="s">
        <v>211</v>
      </c>
      <c r="G281" s="70">
        <f>IF(G280="",G279,G280)</f>
        <v>1</v>
      </c>
      <c r="H281" s="70">
        <f t="shared" ref="H281:P281" si="138">IF(H280="",H279,H280)</f>
        <v>1</v>
      </c>
      <c r="I281" s="70">
        <f t="shared" si="138"/>
        <v>1</v>
      </c>
      <c r="J281" s="70">
        <f t="shared" si="138"/>
        <v>1</v>
      </c>
      <c r="K281" s="70">
        <f t="shared" si="138"/>
        <v>1</v>
      </c>
      <c r="L281" s="70">
        <f t="shared" si="138"/>
        <v>1</v>
      </c>
      <c r="M281" s="70">
        <f t="shared" si="138"/>
        <v>1</v>
      </c>
      <c r="N281" s="70">
        <f t="shared" si="138"/>
        <v>1</v>
      </c>
      <c r="O281" s="70">
        <f t="shared" si="138"/>
        <v>1</v>
      </c>
      <c r="P281" s="70">
        <f t="shared" si="138"/>
        <v>1</v>
      </c>
      <c r="Q281" s="504"/>
      <c r="R281" s="49"/>
    </row>
    <row r="282" spans="2:18" hidden="1">
      <c r="B282" s="94" t="s">
        <v>533</v>
      </c>
      <c r="C282" s="183"/>
      <c r="D282" s="194"/>
      <c r="E282" s="186" t="s">
        <v>307</v>
      </c>
      <c r="F282" s="28" t="s">
        <v>219</v>
      </c>
      <c r="G282" s="58">
        <f t="shared" ref="G282:P282" si="139">G277*Conv_sqm_ha*G281</f>
        <v>0</v>
      </c>
      <c r="H282" s="58">
        <f t="shared" si="139"/>
        <v>0</v>
      </c>
      <c r="I282" s="58">
        <f t="shared" si="139"/>
        <v>0</v>
      </c>
      <c r="J282" s="58">
        <f t="shared" si="139"/>
        <v>0</v>
      </c>
      <c r="K282" s="58">
        <f t="shared" si="139"/>
        <v>0</v>
      </c>
      <c r="L282" s="58">
        <f t="shared" si="139"/>
        <v>0</v>
      </c>
      <c r="M282" s="58">
        <f t="shared" si="139"/>
        <v>0</v>
      </c>
      <c r="N282" s="58">
        <f t="shared" si="139"/>
        <v>0</v>
      </c>
      <c r="O282" s="58">
        <f t="shared" si="139"/>
        <v>0</v>
      </c>
      <c r="P282" s="58">
        <f t="shared" si="139"/>
        <v>0</v>
      </c>
      <c r="Q282" s="504"/>
      <c r="R282" s="49"/>
    </row>
    <row r="283" spans="2:18" ht="33.75" hidden="1">
      <c r="B283" s="94" t="s">
        <v>533</v>
      </c>
      <c r="C283" s="183"/>
      <c r="D283" s="189"/>
      <c r="E283" s="207" t="s">
        <v>762</v>
      </c>
      <c r="F283" s="28" t="s">
        <v>211</v>
      </c>
      <c r="G283" s="506" t="s">
        <v>763</v>
      </c>
      <c r="H283" s="506" t="s">
        <v>763</v>
      </c>
      <c r="I283" s="506" t="s">
        <v>763</v>
      </c>
      <c r="J283" s="506" t="s">
        <v>763</v>
      </c>
      <c r="K283" s="506" t="s">
        <v>763</v>
      </c>
      <c r="L283" s="506" t="s">
        <v>763</v>
      </c>
      <c r="M283" s="506" t="s">
        <v>763</v>
      </c>
      <c r="N283" s="506" t="s">
        <v>763</v>
      </c>
      <c r="O283" s="506" t="s">
        <v>763</v>
      </c>
      <c r="P283" s="506" t="s">
        <v>763</v>
      </c>
      <c r="Q283" s="504"/>
      <c r="R283" s="49"/>
    </row>
    <row r="284" spans="2:18" hidden="1">
      <c r="B284" s="94" t="s">
        <v>533</v>
      </c>
      <c r="C284" s="183"/>
      <c r="D284" s="189"/>
      <c r="E284" s="186" t="s">
        <v>227</v>
      </c>
      <c r="F284" s="28" t="s">
        <v>241</v>
      </c>
      <c r="G284" s="54">
        <f t="shared" ref="G284:P284" si="140">_xlfn.XLOOKUP(G283,Load_haul_fill_names_CS,Load_haul_fill_rates_CS)</f>
        <v>5.5772874469474321</v>
      </c>
      <c r="H284" s="54">
        <f t="shared" si="140"/>
        <v>5.5772874469474321</v>
      </c>
      <c r="I284" s="54">
        <f t="shared" si="140"/>
        <v>5.5772874469474321</v>
      </c>
      <c r="J284" s="54">
        <f t="shared" si="140"/>
        <v>5.5772874469474321</v>
      </c>
      <c r="K284" s="54">
        <f t="shared" si="140"/>
        <v>5.5772874469474321</v>
      </c>
      <c r="L284" s="54">
        <f t="shared" si="140"/>
        <v>5.5772874469474321</v>
      </c>
      <c r="M284" s="54">
        <f t="shared" si="140"/>
        <v>5.5772874469474321</v>
      </c>
      <c r="N284" s="54">
        <f t="shared" si="140"/>
        <v>5.5772874469474321</v>
      </c>
      <c r="O284" s="54">
        <f t="shared" si="140"/>
        <v>5.5772874469474321</v>
      </c>
      <c r="P284" s="54">
        <f t="shared" si="140"/>
        <v>5.5772874469474321</v>
      </c>
      <c r="Q284" s="504"/>
      <c r="R284" s="55"/>
    </row>
    <row r="285" spans="2:18" hidden="1">
      <c r="B285" s="94" t="s">
        <v>533</v>
      </c>
      <c r="C285" s="183"/>
      <c r="D285" s="189"/>
      <c r="E285" s="186" t="s">
        <v>229</v>
      </c>
      <c r="F285" s="28" t="s">
        <v>241</v>
      </c>
      <c r="G285" s="414"/>
      <c r="H285" s="414"/>
      <c r="I285" s="414"/>
      <c r="J285" s="414"/>
      <c r="K285" s="414"/>
      <c r="L285" s="414"/>
      <c r="M285" s="414"/>
      <c r="N285" s="414"/>
      <c r="O285" s="414"/>
      <c r="P285" s="414"/>
      <c r="Q285" s="504"/>
      <c r="R285" s="49"/>
    </row>
    <row r="286" spans="2:18" hidden="1">
      <c r="B286" s="94" t="s">
        <v>533</v>
      </c>
      <c r="C286" s="185"/>
      <c r="D286" s="189"/>
      <c r="E286" s="186" t="s">
        <v>146</v>
      </c>
      <c r="F286" s="28" t="s">
        <v>207</v>
      </c>
      <c r="G286" s="71">
        <f t="shared" ref="G286:P286" si="141">G284*G282</f>
        <v>0</v>
      </c>
      <c r="H286" s="71">
        <f t="shared" si="141"/>
        <v>0</v>
      </c>
      <c r="I286" s="71">
        <f t="shared" si="141"/>
        <v>0</v>
      </c>
      <c r="J286" s="71">
        <f t="shared" si="141"/>
        <v>0</v>
      </c>
      <c r="K286" s="71">
        <f t="shared" si="141"/>
        <v>0</v>
      </c>
      <c r="L286" s="71">
        <f t="shared" si="141"/>
        <v>0</v>
      </c>
      <c r="M286" s="71">
        <f t="shared" si="141"/>
        <v>0</v>
      </c>
      <c r="N286" s="71">
        <f t="shared" si="141"/>
        <v>0</v>
      </c>
      <c r="O286" s="71">
        <f t="shared" si="141"/>
        <v>0</v>
      </c>
      <c r="P286" s="71">
        <f t="shared" si="141"/>
        <v>0</v>
      </c>
      <c r="Q286" s="504"/>
      <c r="R286" s="49"/>
    </row>
    <row r="287" spans="2:18" ht="33.75" hidden="1">
      <c r="B287" s="94" t="s">
        <v>533</v>
      </c>
      <c r="C287" s="181" t="s">
        <v>764</v>
      </c>
      <c r="D287" s="189"/>
      <c r="E287" s="186" t="s">
        <v>765</v>
      </c>
      <c r="F287" s="28" t="s">
        <v>123</v>
      </c>
      <c r="G287" s="507" t="s">
        <v>766</v>
      </c>
      <c r="H287" s="507" t="s">
        <v>766</v>
      </c>
      <c r="I287" s="507" t="s">
        <v>766</v>
      </c>
      <c r="J287" s="507" t="s">
        <v>766</v>
      </c>
      <c r="K287" s="507" t="s">
        <v>766</v>
      </c>
      <c r="L287" s="507" t="s">
        <v>766</v>
      </c>
      <c r="M287" s="507" t="s">
        <v>766</v>
      </c>
      <c r="N287" s="507" t="s">
        <v>766</v>
      </c>
      <c r="O287" s="507" t="s">
        <v>766</v>
      </c>
      <c r="P287" s="507" t="s">
        <v>766</v>
      </c>
      <c r="Q287" s="504"/>
      <c r="R287" s="49"/>
    </row>
    <row r="288" spans="2:18" hidden="1">
      <c r="B288" s="94" t="s">
        <v>533</v>
      </c>
      <c r="C288" s="183"/>
      <c r="D288" s="189"/>
      <c r="E288" s="186" t="s">
        <v>227</v>
      </c>
      <c r="F288" s="28" t="s">
        <v>241</v>
      </c>
      <c r="G288" s="54">
        <f t="shared" ref="G288:P288" si="142">_xlfn.XLOOKUP(G287,Dozer_push_names_CS,Dozer_push_rates_CS)</f>
        <v>0.59455377402363863</v>
      </c>
      <c r="H288" s="54">
        <f t="shared" si="142"/>
        <v>0.59455377402363863</v>
      </c>
      <c r="I288" s="54">
        <f t="shared" si="142"/>
        <v>0.59455377402363863</v>
      </c>
      <c r="J288" s="54">
        <f t="shared" si="142"/>
        <v>0.59455377402363863</v>
      </c>
      <c r="K288" s="54">
        <f t="shared" si="142"/>
        <v>0.59455377402363863</v>
      </c>
      <c r="L288" s="54">
        <f t="shared" si="142"/>
        <v>0.59455377402363863</v>
      </c>
      <c r="M288" s="54">
        <f t="shared" si="142"/>
        <v>0.59455377402363863</v>
      </c>
      <c r="N288" s="54">
        <f t="shared" si="142"/>
        <v>0.59455377402363863</v>
      </c>
      <c r="O288" s="54">
        <f t="shared" si="142"/>
        <v>0.59455377402363863</v>
      </c>
      <c r="P288" s="54">
        <f t="shared" si="142"/>
        <v>0.59455377402363863</v>
      </c>
      <c r="Q288" s="504"/>
      <c r="R288" s="55"/>
    </row>
    <row r="289" spans="2:18" hidden="1">
      <c r="B289" s="94" t="s">
        <v>533</v>
      </c>
      <c r="C289" s="183"/>
      <c r="D289" s="189"/>
      <c r="E289" s="186" t="s">
        <v>229</v>
      </c>
      <c r="F289" s="28" t="s">
        <v>241</v>
      </c>
      <c r="G289" s="414"/>
      <c r="H289" s="414"/>
      <c r="I289" s="414"/>
      <c r="J289" s="414"/>
      <c r="K289" s="414"/>
      <c r="L289" s="414"/>
      <c r="M289" s="414"/>
      <c r="N289" s="414"/>
      <c r="O289" s="414"/>
      <c r="P289" s="414"/>
      <c r="Q289" s="504"/>
      <c r="R289" s="49"/>
    </row>
    <row r="290" spans="2:18" hidden="1">
      <c r="B290" s="94" t="s">
        <v>533</v>
      </c>
      <c r="C290" s="183"/>
      <c r="D290" s="189"/>
      <c r="E290" s="186" t="s">
        <v>146</v>
      </c>
      <c r="F290" s="28" t="s">
        <v>207</v>
      </c>
      <c r="G290" s="147">
        <f t="shared" ref="G290:P290" si="143">IF(G289="",G288,G289)*G282</f>
        <v>0</v>
      </c>
      <c r="H290" s="147">
        <f t="shared" si="143"/>
        <v>0</v>
      </c>
      <c r="I290" s="147">
        <f t="shared" si="143"/>
        <v>0</v>
      </c>
      <c r="J290" s="147">
        <f t="shared" si="143"/>
        <v>0</v>
      </c>
      <c r="K290" s="147">
        <f t="shared" si="143"/>
        <v>0</v>
      </c>
      <c r="L290" s="147">
        <f t="shared" si="143"/>
        <v>0</v>
      </c>
      <c r="M290" s="147">
        <f t="shared" si="143"/>
        <v>0</v>
      </c>
      <c r="N290" s="147">
        <f t="shared" si="143"/>
        <v>0</v>
      </c>
      <c r="O290" s="147">
        <f t="shared" si="143"/>
        <v>0</v>
      </c>
      <c r="P290" s="147">
        <f t="shared" si="143"/>
        <v>0</v>
      </c>
      <c r="Q290" s="504"/>
      <c r="R290" s="49"/>
    </row>
    <row r="291" spans="2:18" ht="33.75" hidden="1">
      <c r="B291" s="94" t="s">
        <v>533</v>
      </c>
      <c r="C291" s="185"/>
      <c r="D291" s="189"/>
      <c r="E291" s="186" t="s">
        <v>735</v>
      </c>
      <c r="F291" s="28" t="s">
        <v>123</v>
      </c>
      <c r="G291" s="507" t="s">
        <v>737</v>
      </c>
      <c r="H291" s="507" t="s">
        <v>737</v>
      </c>
      <c r="I291" s="507" t="s">
        <v>737</v>
      </c>
      <c r="J291" s="507" t="s">
        <v>737</v>
      </c>
      <c r="K291" s="507" t="s">
        <v>737</v>
      </c>
      <c r="L291" s="507" t="s">
        <v>737</v>
      </c>
      <c r="M291" s="507" t="s">
        <v>737</v>
      </c>
      <c r="N291" s="507" t="s">
        <v>737</v>
      </c>
      <c r="O291" s="507" t="s">
        <v>737</v>
      </c>
      <c r="P291" s="507" t="s">
        <v>737</v>
      </c>
      <c r="Q291" s="504"/>
      <c r="R291" s="49"/>
    </row>
    <row r="292" spans="2:18" hidden="1">
      <c r="B292" s="94" t="s">
        <v>533</v>
      </c>
      <c r="C292" s="181" t="s">
        <v>767</v>
      </c>
      <c r="D292" s="189"/>
      <c r="E292" s="186" t="s">
        <v>227</v>
      </c>
      <c r="F292" s="28" t="s">
        <v>329</v>
      </c>
      <c r="G292" s="54">
        <f t="shared" ref="G292:P292" si="144">_xlfn.XLOOKUP(G291,Dozer_shape_doze_for_drainage_names_CS,Dozer_shape_doze_for_drainage_rates_CS)</f>
        <v>6726.2274169792872</v>
      </c>
      <c r="H292" s="54">
        <f t="shared" si="144"/>
        <v>6726.2274169792872</v>
      </c>
      <c r="I292" s="54">
        <f t="shared" si="144"/>
        <v>6726.2274169792872</v>
      </c>
      <c r="J292" s="54">
        <f t="shared" si="144"/>
        <v>6726.2274169792872</v>
      </c>
      <c r="K292" s="54">
        <f t="shared" si="144"/>
        <v>6726.2274169792872</v>
      </c>
      <c r="L292" s="54">
        <f t="shared" si="144"/>
        <v>6726.2274169792872</v>
      </c>
      <c r="M292" s="54">
        <f t="shared" si="144"/>
        <v>6726.2274169792872</v>
      </c>
      <c r="N292" s="54">
        <f t="shared" si="144"/>
        <v>6726.2274169792872</v>
      </c>
      <c r="O292" s="54">
        <f t="shared" si="144"/>
        <v>6726.2274169792872</v>
      </c>
      <c r="P292" s="54">
        <f t="shared" si="144"/>
        <v>6726.2274169792872</v>
      </c>
      <c r="Q292" s="504"/>
      <c r="R292" s="55"/>
    </row>
    <row r="293" spans="2:18" hidden="1">
      <c r="B293" s="94" t="s">
        <v>533</v>
      </c>
      <c r="C293" s="183"/>
      <c r="D293" s="189"/>
      <c r="E293" s="186" t="s">
        <v>229</v>
      </c>
      <c r="F293" s="28" t="s">
        <v>329</v>
      </c>
      <c r="G293" s="414"/>
      <c r="H293" s="414"/>
      <c r="I293" s="414"/>
      <c r="J293" s="414"/>
      <c r="K293" s="414"/>
      <c r="L293" s="414"/>
      <c r="M293" s="414"/>
      <c r="N293" s="414"/>
      <c r="O293" s="414"/>
      <c r="P293" s="414"/>
      <c r="Q293" s="504"/>
      <c r="R293" s="49"/>
    </row>
    <row r="294" spans="2:18" hidden="1">
      <c r="B294" s="94" t="s">
        <v>533</v>
      </c>
      <c r="C294" s="185"/>
      <c r="D294" s="190"/>
      <c r="E294" s="180" t="s">
        <v>146</v>
      </c>
      <c r="F294" s="28" t="s">
        <v>207</v>
      </c>
      <c r="G294" s="147">
        <f t="shared" ref="G294:P294" si="145">IF(G293="",G292,G293)*G277</f>
        <v>0</v>
      </c>
      <c r="H294" s="147">
        <f t="shared" si="145"/>
        <v>0</v>
      </c>
      <c r="I294" s="147">
        <f t="shared" si="145"/>
        <v>0</v>
      </c>
      <c r="J294" s="147">
        <f t="shared" si="145"/>
        <v>0</v>
      </c>
      <c r="K294" s="147">
        <f t="shared" si="145"/>
        <v>0</v>
      </c>
      <c r="L294" s="147">
        <f t="shared" si="145"/>
        <v>0</v>
      </c>
      <c r="M294" s="147">
        <f t="shared" si="145"/>
        <v>0</v>
      </c>
      <c r="N294" s="147">
        <f t="shared" si="145"/>
        <v>0</v>
      </c>
      <c r="O294" s="147">
        <f t="shared" si="145"/>
        <v>0</v>
      </c>
      <c r="P294" s="147">
        <f t="shared" si="145"/>
        <v>0</v>
      </c>
      <c r="Q294" s="504"/>
      <c r="R294" s="49"/>
    </row>
    <row r="295" spans="2:18" hidden="1">
      <c r="B295" s="94" t="s">
        <v>533</v>
      </c>
      <c r="C295" s="200"/>
      <c r="D295" s="188"/>
      <c r="E295" s="205" t="str">
        <f>C279</f>
        <v>Rock cover load, haul, place for ramps</v>
      </c>
      <c r="F295" s="62" t="s">
        <v>207</v>
      </c>
      <c r="G295" s="80">
        <f t="shared" ref="G295:P295" si="146">G286+G290+G294</f>
        <v>0</v>
      </c>
      <c r="H295" s="80">
        <f t="shared" si="146"/>
        <v>0</v>
      </c>
      <c r="I295" s="80">
        <f t="shared" si="146"/>
        <v>0</v>
      </c>
      <c r="J295" s="80">
        <f t="shared" si="146"/>
        <v>0</v>
      </c>
      <c r="K295" s="80">
        <f t="shared" si="146"/>
        <v>0</v>
      </c>
      <c r="L295" s="80">
        <f t="shared" si="146"/>
        <v>0</v>
      </c>
      <c r="M295" s="80">
        <f t="shared" si="146"/>
        <v>0</v>
      </c>
      <c r="N295" s="80">
        <f t="shared" si="146"/>
        <v>0</v>
      </c>
      <c r="O295" s="80">
        <f t="shared" si="146"/>
        <v>0</v>
      </c>
      <c r="P295" s="80">
        <f t="shared" si="146"/>
        <v>0</v>
      </c>
      <c r="Q295" s="504"/>
      <c r="R295" s="49"/>
    </row>
    <row r="296" spans="2:18" hidden="1">
      <c r="B296" s="94" t="s">
        <v>533</v>
      </c>
      <c r="C296" s="159" t="s">
        <v>768</v>
      </c>
      <c r="D296" s="59" t="s">
        <v>769</v>
      </c>
      <c r="E296" s="176" t="s">
        <v>623</v>
      </c>
      <c r="F296" s="28" t="s">
        <v>299</v>
      </c>
      <c r="G296" s="70">
        <f t="shared" ref="G296:P296" si="147">G$276</f>
        <v>0</v>
      </c>
      <c r="H296" s="70">
        <f t="shared" si="147"/>
        <v>0</v>
      </c>
      <c r="I296" s="70">
        <f t="shared" si="147"/>
        <v>0</v>
      </c>
      <c r="J296" s="70">
        <f t="shared" si="147"/>
        <v>0</v>
      </c>
      <c r="K296" s="70">
        <f t="shared" si="147"/>
        <v>0</v>
      </c>
      <c r="L296" s="70">
        <f t="shared" si="147"/>
        <v>0</v>
      </c>
      <c r="M296" s="70">
        <f t="shared" si="147"/>
        <v>0</v>
      </c>
      <c r="N296" s="70">
        <f t="shared" si="147"/>
        <v>0</v>
      </c>
      <c r="O296" s="70">
        <f t="shared" si="147"/>
        <v>0</v>
      </c>
      <c r="P296" s="70">
        <f t="shared" si="147"/>
        <v>0</v>
      </c>
      <c r="Q296" s="504"/>
      <c r="R296" s="55"/>
    </row>
    <row r="297" spans="2:18" hidden="1">
      <c r="B297" s="94" t="s">
        <v>533</v>
      </c>
      <c r="C297" s="52"/>
      <c r="D297" s="60"/>
      <c r="E297" s="176" t="s">
        <v>624</v>
      </c>
      <c r="F297" s="28" t="s">
        <v>299</v>
      </c>
      <c r="G297" s="515"/>
      <c r="H297" s="515"/>
      <c r="I297" s="515"/>
      <c r="J297" s="515"/>
      <c r="K297" s="515"/>
      <c r="L297" s="515"/>
      <c r="M297" s="515"/>
      <c r="N297" s="515"/>
      <c r="O297" s="515"/>
      <c r="P297" s="515"/>
      <c r="Q297" s="504"/>
      <c r="R297" s="49"/>
    </row>
    <row r="298" spans="2:18" hidden="1">
      <c r="B298" s="94" t="s">
        <v>533</v>
      </c>
      <c r="C298" s="183"/>
      <c r="D298" s="60"/>
      <c r="E298" s="176" t="s">
        <v>625</v>
      </c>
      <c r="F298" s="28" t="s">
        <v>299</v>
      </c>
      <c r="G298" s="70">
        <f t="shared" ref="G298:P298" si="148">IF(G297="",G296,G297)</f>
        <v>0</v>
      </c>
      <c r="H298" s="70">
        <f t="shared" si="148"/>
        <v>0</v>
      </c>
      <c r="I298" s="70">
        <f t="shared" si="148"/>
        <v>0</v>
      </c>
      <c r="J298" s="70">
        <f t="shared" si="148"/>
        <v>0</v>
      </c>
      <c r="K298" s="70">
        <f t="shared" si="148"/>
        <v>0</v>
      </c>
      <c r="L298" s="70">
        <f t="shared" si="148"/>
        <v>0</v>
      </c>
      <c r="M298" s="70">
        <f t="shared" si="148"/>
        <v>0</v>
      </c>
      <c r="N298" s="70">
        <f t="shared" si="148"/>
        <v>0</v>
      </c>
      <c r="O298" s="70">
        <f t="shared" si="148"/>
        <v>0</v>
      </c>
      <c r="P298" s="70">
        <f t="shared" si="148"/>
        <v>0</v>
      </c>
      <c r="Q298" s="504"/>
      <c r="R298" s="55"/>
    </row>
    <row r="299" spans="2:18" hidden="1">
      <c r="B299" s="94" t="s">
        <v>533</v>
      </c>
      <c r="C299" s="183"/>
      <c r="D299" s="60"/>
      <c r="E299" s="176" t="s">
        <v>759</v>
      </c>
      <c r="F299" s="28" t="s">
        <v>211</v>
      </c>
      <c r="G299" s="70">
        <f>_xlfn.XLOOKUP(G$274,'Assumptions - Capping'!$E$4:$H$4,'Assumptions - Capping'!$E$25:$H$25)</f>
        <v>0</v>
      </c>
      <c r="H299" s="70">
        <f>_xlfn.XLOOKUP(H$274,'Assumptions - Capping'!$E$4:$H$4,'Assumptions - Capping'!$E$25:$H$25)</f>
        <v>0</v>
      </c>
      <c r="I299" s="70">
        <f>_xlfn.XLOOKUP(I$274,'Assumptions - Capping'!$E$4:$H$4,'Assumptions - Capping'!$E$25:$H$25)</f>
        <v>0</v>
      </c>
      <c r="J299" s="70">
        <f>_xlfn.XLOOKUP(J$274,'Assumptions - Capping'!$E$4:$H$4,'Assumptions - Capping'!$E$25:$H$25)</f>
        <v>0</v>
      </c>
      <c r="K299" s="70">
        <f>_xlfn.XLOOKUP(K$274,'Assumptions - Capping'!$E$4:$H$4,'Assumptions - Capping'!$E$25:$H$25)</f>
        <v>0</v>
      </c>
      <c r="L299" s="70">
        <f>_xlfn.XLOOKUP(L$274,'Assumptions - Capping'!$E$4:$H$4,'Assumptions - Capping'!$E$25:$H$25)</f>
        <v>0</v>
      </c>
      <c r="M299" s="70">
        <f>_xlfn.XLOOKUP(M$274,'Assumptions - Capping'!$E$4:$H$4,'Assumptions - Capping'!$E$25:$H$25)</f>
        <v>0</v>
      </c>
      <c r="N299" s="70">
        <f>_xlfn.XLOOKUP(N$274,'Assumptions - Capping'!$E$4:$H$4,'Assumptions - Capping'!$E$25:$H$25)</f>
        <v>0</v>
      </c>
      <c r="O299" s="70">
        <f>_xlfn.XLOOKUP(O$274,'Assumptions - Capping'!$E$4:$H$4,'Assumptions - Capping'!$E$25:$H$25)</f>
        <v>0</v>
      </c>
      <c r="P299" s="70">
        <f>_xlfn.XLOOKUP(P$274,'Assumptions - Capping'!$E$4:$H$4,'Assumptions - Capping'!$E$25:$H$25)</f>
        <v>0</v>
      </c>
      <c r="Q299" s="504"/>
      <c r="R299" s="49"/>
    </row>
    <row r="300" spans="2:18" hidden="1">
      <c r="B300" s="94" t="s">
        <v>533</v>
      </c>
      <c r="C300" s="183"/>
      <c r="D300" s="60"/>
      <c r="E300" s="176" t="s">
        <v>760</v>
      </c>
      <c r="F300" s="28" t="s">
        <v>211</v>
      </c>
      <c r="G300" s="411"/>
      <c r="H300" s="411"/>
      <c r="I300" s="411"/>
      <c r="J300" s="411"/>
      <c r="K300" s="411"/>
      <c r="L300" s="411"/>
      <c r="M300" s="411"/>
      <c r="N300" s="411"/>
      <c r="O300" s="411"/>
      <c r="P300" s="411"/>
      <c r="Q300" s="504"/>
      <c r="R300" s="49"/>
    </row>
    <row r="301" spans="2:18" hidden="1">
      <c r="B301" s="94" t="s">
        <v>533</v>
      </c>
      <c r="C301" s="183"/>
      <c r="D301" s="60"/>
      <c r="E301" s="176" t="s">
        <v>761</v>
      </c>
      <c r="F301" s="28" t="s">
        <v>211</v>
      </c>
      <c r="G301" s="70">
        <f>IF(G300="",G299,G300)</f>
        <v>0</v>
      </c>
      <c r="H301" s="70">
        <f t="shared" ref="H301:P301" si="149">IF(H300="",H299,H300)</f>
        <v>0</v>
      </c>
      <c r="I301" s="70">
        <f t="shared" si="149"/>
        <v>0</v>
      </c>
      <c r="J301" s="70">
        <f t="shared" si="149"/>
        <v>0</v>
      </c>
      <c r="K301" s="70">
        <f t="shared" si="149"/>
        <v>0</v>
      </c>
      <c r="L301" s="70">
        <f t="shared" si="149"/>
        <v>0</v>
      </c>
      <c r="M301" s="70">
        <f t="shared" si="149"/>
        <v>0</v>
      </c>
      <c r="N301" s="70">
        <f t="shared" si="149"/>
        <v>0</v>
      </c>
      <c r="O301" s="70">
        <f t="shared" si="149"/>
        <v>0</v>
      </c>
      <c r="P301" s="70">
        <f t="shared" si="149"/>
        <v>0</v>
      </c>
      <c r="Q301" s="504"/>
      <c r="R301" s="49"/>
    </row>
    <row r="302" spans="2:18" hidden="1">
      <c r="B302" s="94" t="s">
        <v>533</v>
      </c>
      <c r="C302" s="183"/>
      <c r="D302" s="60"/>
      <c r="E302" s="176" t="s">
        <v>307</v>
      </c>
      <c r="F302" s="28" t="s">
        <v>219</v>
      </c>
      <c r="G302" s="58">
        <f t="shared" ref="G302:P302" si="150">G298*Conv_sqm_ha*G301</f>
        <v>0</v>
      </c>
      <c r="H302" s="58">
        <f t="shared" si="150"/>
        <v>0</v>
      </c>
      <c r="I302" s="58">
        <f t="shared" si="150"/>
        <v>0</v>
      </c>
      <c r="J302" s="58">
        <f t="shared" si="150"/>
        <v>0</v>
      </c>
      <c r="K302" s="58">
        <f t="shared" si="150"/>
        <v>0</v>
      </c>
      <c r="L302" s="58">
        <f t="shared" si="150"/>
        <v>0</v>
      </c>
      <c r="M302" s="58">
        <f t="shared" si="150"/>
        <v>0</v>
      </c>
      <c r="N302" s="58">
        <f t="shared" si="150"/>
        <v>0</v>
      </c>
      <c r="O302" s="58">
        <f t="shared" si="150"/>
        <v>0</v>
      </c>
      <c r="P302" s="58">
        <f t="shared" si="150"/>
        <v>0</v>
      </c>
      <c r="Q302" s="504"/>
      <c r="R302" s="55"/>
    </row>
    <row r="303" spans="2:18" hidden="1">
      <c r="B303" s="94" t="s">
        <v>533</v>
      </c>
      <c r="C303" s="181" t="s">
        <v>770</v>
      </c>
      <c r="D303" s="60"/>
      <c r="E303" s="176" t="s">
        <v>771</v>
      </c>
      <c r="F303" s="28" t="s">
        <v>241</v>
      </c>
      <c r="G303" s="54">
        <f>IF(G299=0,0,'Cost Schedule'!$D$426)</f>
        <v>0</v>
      </c>
      <c r="H303" s="54">
        <f>IF(H299=0,0,'Cost Schedule'!$D$426)</f>
        <v>0</v>
      </c>
      <c r="I303" s="54">
        <f>IF(I299=0,0,'Cost Schedule'!$D$426)</f>
        <v>0</v>
      </c>
      <c r="J303" s="54">
        <f>IF(J299=0,0,'Cost Schedule'!$D$426)</f>
        <v>0</v>
      </c>
      <c r="K303" s="54">
        <f>IF(K299=0,0,'Cost Schedule'!$D$426)</f>
        <v>0</v>
      </c>
      <c r="L303" s="54">
        <f>IF(L299=0,0,'Cost Schedule'!$D$426)</f>
        <v>0</v>
      </c>
      <c r="M303" s="54">
        <f>IF(M299=0,0,'Cost Schedule'!$D$426)</f>
        <v>0</v>
      </c>
      <c r="N303" s="54">
        <f>IF(N299=0,0,'Cost Schedule'!$D$426)</f>
        <v>0</v>
      </c>
      <c r="O303" s="54">
        <f>IF(O299=0,0,'Cost Schedule'!$D$426)</f>
        <v>0</v>
      </c>
      <c r="P303" s="54">
        <f>IF(P299=0,0,'Cost Schedule'!$D$426)</f>
        <v>0</v>
      </c>
      <c r="Q303" s="504"/>
      <c r="R303" s="55"/>
    </row>
    <row r="304" spans="2:18" hidden="1">
      <c r="B304" s="94" t="s">
        <v>533</v>
      </c>
      <c r="C304" s="183"/>
      <c r="D304" s="60"/>
      <c r="E304" s="176" t="s">
        <v>772</v>
      </c>
      <c r="F304" s="28" t="s">
        <v>241</v>
      </c>
      <c r="G304" s="414"/>
      <c r="H304" s="414"/>
      <c r="I304" s="414"/>
      <c r="J304" s="414"/>
      <c r="K304" s="414"/>
      <c r="L304" s="414"/>
      <c r="M304" s="414"/>
      <c r="N304" s="414"/>
      <c r="O304" s="414"/>
      <c r="P304" s="414"/>
      <c r="Q304" s="504"/>
      <c r="R304" s="49"/>
    </row>
    <row r="305" spans="2:18" hidden="1">
      <c r="B305" s="94" t="s">
        <v>533</v>
      </c>
      <c r="C305" s="183"/>
      <c r="D305" s="60"/>
      <c r="E305" s="176" t="s">
        <v>773</v>
      </c>
      <c r="F305" s="28" t="s">
        <v>207</v>
      </c>
      <c r="G305" s="148">
        <f t="shared" ref="G305:P305" si="151">IF(G304="",G303,G304)*G302</f>
        <v>0</v>
      </c>
      <c r="H305" s="148">
        <f t="shared" si="151"/>
        <v>0</v>
      </c>
      <c r="I305" s="148">
        <f t="shared" si="151"/>
        <v>0</v>
      </c>
      <c r="J305" s="148">
        <f t="shared" si="151"/>
        <v>0</v>
      </c>
      <c r="K305" s="148">
        <f t="shared" si="151"/>
        <v>0</v>
      </c>
      <c r="L305" s="148">
        <f t="shared" si="151"/>
        <v>0</v>
      </c>
      <c r="M305" s="148">
        <f t="shared" si="151"/>
        <v>0</v>
      </c>
      <c r="N305" s="148">
        <f t="shared" si="151"/>
        <v>0</v>
      </c>
      <c r="O305" s="148">
        <f t="shared" si="151"/>
        <v>0</v>
      </c>
      <c r="P305" s="148">
        <f t="shared" si="151"/>
        <v>0</v>
      </c>
      <c r="Q305" s="504"/>
      <c r="R305" s="55"/>
    </row>
    <row r="306" spans="2:18" ht="33.75" hidden="1">
      <c r="B306" s="94" t="s">
        <v>533</v>
      </c>
      <c r="C306" s="181" t="s">
        <v>774</v>
      </c>
      <c r="D306" s="60"/>
      <c r="E306" s="176" t="s">
        <v>634</v>
      </c>
      <c r="F306" s="28" t="s">
        <v>123</v>
      </c>
      <c r="G306" s="506" t="s">
        <v>763</v>
      </c>
      <c r="H306" s="506" t="s">
        <v>763</v>
      </c>
      <c r="I306" s="506" t="s">
        <v>763</v>
      </c>
      <c r="J306" s="506" t="s">
        <v>763</v>
      </c>
      <c r="K306" s="506" t="s">
        <v>763</v>
      </c>
      <c r="L306" s="506" t="s">
        <v>763</v>
      </c>
      <c r="M306" s="506" t="s">
        <v>763</v>
      </c>
      <c r="N306" s="506" t="s">
        <v>763</v>
      </c>
      <c r="O306" s="506" t="s">
        <v>763</v>
      </c>
      <c r="P306" s="506" t="s">
        <v>763</v>
      </c>
      <c r="Q306" s="504"/>
      <c r="R306" s="49"/>
    </row>
    <row r="307" spans="2:18" hidden="1">
      <c r="B307" s="94" t="s">
        <v>533</v>
      </c>
      <c r="C307" s="183"/>
      <c r="D307" s="60"/>
      <c r="E307" s="176" t="s">
        <v>227</v>
      </c>
      <c r="F307" s="28" t="s">
        <v>219</v>
      </c>
      <c r="G307" s="54">
        <f t="shared" ref="G307:P307" si="152">IF(G299=0,0,_xlfn.XLOOKUP(G306,Load_haul_fill_names_CS,Load_haul_fill_rates_CS))</f>
        <v>0</v>
      </c>
      <c r="H307" s="54">
        <f t="shared" si="152"/>
        <v>0</v>
      </c>
      <c r="I307" s="54">
        <f t="shared" si="152"/>
        <v>0</v>
      </c>
      <c r="J307" s="54">
        <f t="shared" si="152"/>
        <v>0</v>
      </c>
      <c r="K307" s="54">
        <f t="shared" si="152"/>
        <v>0</v>
      </c>
      <c r="L307" s="54">
        <f t="shared" si="152"/>
        <v>0</v>
      </c>
      <c r="M307" s="54">
        <f t="shared" si="152"/>
        <v>0</v>
      </c>
      <c r="N307" s="54">
        <f t="shared" si="152"/>
        <v>0</v>
      </c>
      <c r="O307" s="54">
        <f t="shared" si="152"/>
        <v>0</v>
      </c>
      <c r="P307" s="54">
        <f t="shared" si="152"/>
        <v>0</v>
      </c>
      <c r="Q307" s="504"/>
      <c r="R307" s="55"/>
    </row>
    <row r="308" spans="2:18" hidden="1">
      <c r="B308" s="94" t="s">
        <v>533</v>
      </c>
      <c r="C308" s="183"/>
      <c r="D308" s="60"/>
      <c r="E308" s="176" t="s">
        <v>229</v>
      </c>
      <c r="F308" s="28" t="s">
        <v>241</v>
      </c>
      <c r="G308" s="414"/>
      <c r="H308" s="414"/>
      <c r="I308" s="414"/>
      <c r="J308" s="414"/>
      <c r="K308" s="414"/>
      <c r="L308" s="414"/>
      <c r="M308" s="414"/>
      <c r="N308" s="414"/>
      <c r="O308" s="414"/>
      <c r="P308" s="414"/>
      <c r="Q308" s="504"/>
      <c r="R308" s="49"/>
    </row>
    <row r="309" spans="2:18" hidden="1">
      <c r="B309" s="94" t="s">
        <v>533</v>
      </c>
      <c r="C309" s="185"/>
      <c r="D309" s="60"/>
      <c r="E309" s="176" t="s">
        <v>146</v>
      </c>
      <c r="F309" s="28" t="s">
        <v>207</v>
      </c>
      <c r="G309" s="71">
        <f t="shared" ref="G309:P309" si="153">IF(G308="",G307,G308)*G302</f>
        <v>0</v>
      </c>
      <c r="H309" s="71">
        <f t="shared" si="153"/>
        <v>0</v>
      </c>
      <c r="I309" s="71">
        <f t="shared" si="153"/>
        <v>0</v>
      </c>
      <c r="J309" s="71">
        <f t="shared" si="153"/>
        <v>0</v>
      </c>
      <c r="K309" s="71">
        <f t="shared" si="153"/>
        <v>0</v>
      </c>
      <c r="L309" s="71">
        <f t="shared" si="153"/>
        <v>0</v>
      </c>
      <c r="M309" s="71">
        <f t="shared" si="153"/>
        <v>0</v>
      </c>
      <c r="N309" s="71">
        <f t="shared" si="153"/>
        <v>0</v>
      </c>
      <c r="O309" s="71">
        <f t="shared" si="153"/>
        <v>0</v>
      </c>
      <c r="P309" s="71">
        <f t="shared" si="153"/>
        <v>0</v>
      </c>
      <c r="Q309" s="504"/>
      <c r="R309" s="49"/>
    </row>
    <row r="310" spans="2:18" ht="33.75" hidden="1">
      <c r="B310" s="94" t="s">
        <v>533</v>
      </c>
      <c r="C310" s="183" t="s">
        <v>775</v>
      </c>
      <c r="D310" s="60"/>
      <c r="E310" s="186" t="s">
        <v>776</v>
      </c>
      <c r="F310" s="28" t="s">
        <v>123</v>
      </c>
      <c r="G310" s="507" t="s">
        <v>777</v>
      </c>
      <c r="H310" s="516" t="s">
        <v>777</v>
      </c>
      <c r="I310" s="516" t="s">
        <v>777</v>
      </c>
      <c r="J310" s="516" t="s">
        <v>778</v>
      </c>
      <c r="K310" s="516" t="s">
        <v>777</v>
      </c>
      <c r="L310" s="516" t="s">
        <v>777</v>
      </c>
      <c r="M310" s="516" t="s">
        <v>777</v>
      </c>
      <c r="N310" s="516" t="s">
        <v>777</v>
      </c>
      <c r="O310" s="516" t="s">
        <v>777</v>
      </c>
      <c r="P310" s="516" t="s">
        <v>777</v>
      </c>
      <c r="Q310" s="504"/>
      <c r="R310" s="49"/>
    </row>
    <row r="311" spans="2:18" hidden="1">
      <c r="B311" s="94" t="s">
        <v>533</v>
      </c>
      <c r="C311" s="193"/>
      <c r="D311" s="189"/>
      <c r="E311" s="176" t="s">
        <v>227</v>
      </c>
      <c r="F311" s="28" t="s">
        <v>241</v>
      </c>
      <c r="G311" s="54">
        <f>IF(G301=0,0,_xlfn.XLOOKUP(G310,Dozer_push_names_CS,Dozer_push_rates_CS))</f>
        <v>0</v>
      </c>
      <c r="H311" s="113">
        <f t="shared" ref="H311:P311" si="154">IF(H299=0,0,_xlfn.XLOOKUP(H310,Dozer_push_names_CS,Dozer_push_rates_CS))</f>
        <v>0</v>
      </c>
      <c r="I311" s="113">
        <f t="shared" si="154"/>
        <v>0</v>
      </c>
      <c r="J311" s="113">
        <f t="shared" si="154"/>
        <v>0</v>
      </c>
      <c r="K311" s="113">
        <f t="shared" si="154"/>
        <v>0</v>
      </c>
      <c r="L311" s="113">
        <f t="shared" si="154"/>
        <v>0</v>
      </c>
      <c r="M311" s="113">
        <f t="shared" si="154"/>
        <v>0</v>
      </c>
      <c r="N311" s="113">
        <f t="shared" si="154"/>
        <v>0</v>
      </c>
      <c r="O311" s="113">
        <f t="shared" si="154"/>
        <v>0</v>
      </c>
      <c r="P311" s="113">
        <f t="shared" si="154"/>
        <v>0</v>
      </c>
      <c r="Q311" s="504"/>
      <c r="R311" s="49"/>
    </row>
    <row r="312" spans="2:18" hidden="1">
      <c r="B312" s="94" t="s">
        <v>533</v>
      </c>
      <c r="C312" s="193"/>
      <c r="D312" s="189"/>
      <c r="E312" s="176" t="s">
        <v>229</v>
      </c>
      <c r="F312" s="28" t="s">
        <v>241</v>
      </c>
      <c r="G312" s="414"/>
      <c r="H312" s="414"/>
      <c r="I312" s="414"/>
      <c r="J312" s="414"/>
      <c r="K312" s="414"/>
      <c r="L312" s="414"/>
      <c r="M312" s="414"/>
      <c r="N312" s="414"/>
      <c r="O312" s="414"/>
      <c r="P312" s="414"/>
      <c r="Q312" s="508"/>
      <c r="R312" s="49"/>
    </row>
    <row r="313" spans="2:18" hidden="1">
      <c r="B313" s="94" t="s">
        <v>533</v>
      </c>
      <c r="C313" s="195"/>
      <c r="D313" s="190"/>
      <c r="E313" s="176" t="s">
        <v>146</v>
      </c>
      <c r="F313" s="28" t="s">
        <v>207</v>
      </c>
      <c r="G313" s="147">
        <f>IF(G312="",G311,G312)*G302</f>
        <v>0</v>
      </c>
      <c r="H313" s="147">
        <f t="shared" ref="H313:P313" si="155">IF(H312="",H311,H312)*H302</f>
        <v>0</v>
      </c>
      <c r="I313" s="147">
        <f t="shared" si="155"/>
        <v>0</v>
      </c>
      <c r="J313" s="147">
        <f t="shared" si="155"/>
        <v>0</v>
      </c>
      <c r="K313" s="147">
        <f t="shared" si="155"/>
        <v>0</v>
      </c>
      <c r="L313" s="147">
        <f t="shared" si="155"/>
        <v>0</v>
      </c>
      <c r="M313" s="147">
        <f t="shared" si="155"/>
        <v>0</v>
      </c>
      <c r="N313" s="147">
        <f t="shared" si="155"/>
        <v>0</v>
      </c>
      <c r="O313" s="147">
        <f t="shared" si="155"/>
        <v>0</v>
      </c>
      <c r="P313" s="147">
        <f t="shared" si="155"/>
        <v>0</v>
      </c>
      <c r="Q313" s="504"/>
      <c r="R313" s="49"/>
    </row>
    <row r="314" spans="2:18" hidden="1">
      <c r="B314" s="94" t="s">
        <v>533</v>
      </c>
      <c r="C314" s="200"/>
      <c r="D314" s="188"/>
      <c r="E314" s="205" t="str">
        <f>C296</f>
        <v xml:space="preserve">Construct working layer </v>
      </c>
      <c r="F314" s="72"/>
      <c r="G314" s="80">
        <f t="shared" ref="G314:P314" si="156">G305+G309+G313</f>
        <v>0</v>
      </c>
      <c r="H314" s="80">
        <f t="shared" si="156"/>
        <v>0</v>
      </c>
      <c r="I314" s="80">
        <f t="shared" si="156"/>
        <v>0</v>
      </c>
      <c r="J314" s="80">
        <f t="shared" si="156"/>
        <v>0</v>
      </c>
      <c r="K314" s="80">
        <f t="shared" si="156"/>
        <v>0</v>
      </c>
      <c r="L314" s="80">
        <f t="shared" si="156"/>
        <v>0</v>
      </c>
      <c r="M314" s="80">
        <f t="shared" si="156"/>
        <v>0</v>
      </c>
      <c r="N314" s="80">
        <f t="shared" si="156"/>
        <v>0</v>
      </c>
      <c r="O314" s="80">
        <f t="shared" si="156"/>
        <v>0</v>
      </c>
      <c r="P314" s="80">
        <f t="shared" si="156"/>
        <v>0</v>
      </c>
      <c r="Q314" s="504"/>
      <c r="R314" s="49"/>
    </row>
    <row r="315" spans="2:18" hidden="1">
      <c r="B315" s="94" t="s">
        <v>533</v>
      </c>
      <c r="C315" s="159" t="s">
        <v>779</v>
      </c>
      <c r="D315" s="59" t="s">
        <v>780</v>
      </c>
      <c r="E315" s="176" t="s">
        <v>623</v>
      </c>
      <c r="F315" s="28" t="s">
        <v>299</v>
      </c>
      <c r="G315" s="70">
        <f t="shared" ref="G315:P315" si="157">G$276</f>
        <v>0</v>
      </c>
      <c r="H315" s="70">
        <f t="shared" si="157"/>
        <v>0</v>
      </c>
      <c r="I315" s="70">
        <f t="shared" si="157"/>
        <v>0</v>
      </c>
      <c r="J315" s="70">
        <f t="shared" si="157"/>
        <v>0</v>
      </c>
      <c r="K315" s="70">
        <f t="shared" si="157"/>
        <v>0</v>
      </c>
      <c r="L315" s="70">
        <f t="shared" si="157"/>
        <v>0</v>
      </c>
      <c r="M315" s="70">
        <f t="shared" si="157"/>
        <v>0</v>
      </c>
      <c r="N315" s="70">
        <f t="shared" si="157"/>
        <v>0</v>
      </c>
      <c r="O315" s="70">
        <f t="shared" si="157"/>
        <v>0</v>
      </c>
      <c r="P315" s="70">
        <f t="shared" si="157"/>
        <v>0</v>
      </c>
      <c r="Q315" s="504"/>
      <c r="R315" s="55"/>
    </row>
    <row r="316" spans="2:18" hidden="1">
      <c r="B316" s="94" t="s">
        <v>533</v>
      </c>
      <c r="C316" s="52"/>
      <c r="D316" s="60"/>
      <c r="E316" s="176" t="s">
        <v>624</v>
      </c>
      <c r="F316" s="28" t="s">
        <v>299</v>
      </c>
      <c r="G316" s="515"/>
      <c r="H316" s="515"/>
      <c r="I316" s="515"/>
      <c r="J316" s="515"/>
      <c r="K316" s="515"/>
      <c r="L316" s="515"/>
      <c r="M316" s="515"/>
      <c r="N316" s="515"/>
      <c r="O316" s="515"/>
      <c r="P316" s="515"/>
      <c r="Q316" s="504"/>
      <c r="R316" s="49"/>
    </row>
    <row r="317" spans="2:18" hidden="1">
      <c r="B317" s="94" t="s">
        <v>533</v>
      </c>
      <c r="C317" s="52"/>
      <c r="D317" s="60"/>
      <c r="E317" s="176" t="s">
        <v>625</v>
      </c>
      <c r="F317" s="28" t="s">
        <v>299</v>
      </c>
      <c r="G317" s="70">
        <f t="shared" ref="G317:P317" si="158">IF(G316="",G315,G316)</f>
        <v>0</v>
      </c>
      <c r="H317" s="70">
        <f t="shared" si="158"/>
        <v>0</v>
      </c>
      <c r="I317" s="70">
        <f t="shared" si="158"/>
        <v>0</v>
      </c>
      <c r="J317" s="70">
        <f t="shared" si="158"/>
        <v>0</v>
      </c>
      <c r="K317" s="70">
        <f t="shared" si="158"/>
        <v>0</v>
      </c>
      <c r="L317" s="70">
        <f t="shared" si="158"/>
        <v>0</v>
      </c>
      <c r="M317" s="70">
        <f t="shared" si="158"/>
        <v>0</v>
      </c>
      <c r="N317" s="70">
        <f t="shared" si="158"/>
        <v>0</v>
      </c>
      <c r="O317" s="70">
        <f t="shared" si="158"/>
        <v>0</v>
      </c>
      <c r="P317" s="70">
        <f t="shared" si="158"/>
        <v>0</v>
      </c>
      <c r="Q317" s="504"/>
      <c r="R317" s="55"/>
    </row>
    <row r="318" spans="2:18" hidden="1">
      <c r="B318" s="94" t="s">
        <v>533</v>
      </c>
      <c r="C318" s="52"/>
      <c r="D318" s="60"/>
      <c r="E318" s="176" t="s">
        <v>759</v>
      </c>
      <c r="F318" s="28" t="s">
        <v>211</v>
      </c>
      <c r="G318" s="70">
        <f>_xlfn.XLOOKUP(G$274,'Assumptions - Capping'!$E$4:$H$4,'Assumptions - Capping'!$E$26:$H$26)</f>
        <v>0.6</v>
      </c>
      <c r="H318" s="70">
        <f>_xlfn.XLOOKUP(H$274,'Assumptions - Capping'!$E$4:$H$4,'Assumptions - Capping'!$E$26:$H$26)</f>
        <v>0.3</v>
      </c>
      <c r="I318" s="70">
        <f>_xlfn.XLOOKUP(I$274,'Assumptions - Capping'!$E$4:$H$4,'Assumptions - Capping'!$E$26:$H$26)</f>
        <v>0.3</v>
      </c>
      <c r="J318" s="70">
        <f>_xlfn.XLOOKUP(J$274,'Assumptions - Capping'!$E$4:$H$4,'Assumptions - Capping'!$E$26:$H$26)</f>
        <v>0</v>
      </c>
      <c r="K318" s="70">
        <f>_xlfn.XLOOKUP(K$274,'Assumptions - Capping'!$E$4:$H$4,'Assumptions - Capping'!$E$26:$H$26)</f>
        <v>0.6</v>
      </c>
      <c r="L318" s="70">
        <f>_xlfn.XLOOKUP(L$274,'Assumptions - Capping'!$E$4:$H$4,'Assumptions - Capping'!$E$26:$H$26)</f>
        <v>0.6</v>
      </c>
      <c r="M318" s="70">
        <f>_xlfn.XLOOKUP(M$274,'Assumptions - Capping'!$E$4:$H$4,'Assumptions - Capping'!$E$26:$H$26)</f>
        <v>0.6</v>
      </c>
      <c r="N318" s="70">
        <f>_xlfn.XLOOKUP(N$274,'Assumptions - Capping'!$E$4:$H$4,'Assumptions - Capping'!$E$26:$H$26)</f>
        <v>0.6</v>
      </c>
      <c r="O318" s="70">
        <f>_xlfn.XLOOKUP(O$274,'Assumptions - Capping'!$E$4:$H$4,'Assumptions - Capping'!$E$26:$H$26)</f>
        <v>0.6</v>
      </c>
      <c r="P318" s="70">
        <f>_xlfn.XLOOKUP(P$274,'Assumptions - Capping'!$E$4:$H$4,'Assumptions - Capping'!$E$26:$H$26)</f>
        <v>0.6</v>
      </c>
      <c r="Q318" s="504"/>
      <c r="R318" s="49"/>
    </row>
    <row r="319" spans="2:18" hidden="1">
      <c r="B319" s="94" t="s">
        <v>533</v>
      </c>
      <c r="C319" s="52"/>
      <c r="D319" s="60"/>
      <c r="E319" s="176" t="s">
        <v>760</v>
      </c>
      <c r="F319" s="28" t="s">
        <v>211</v>
      </c>
      <c r="G319" s="411"/>
      <c r="H319" s="411"/>
      <c r="I319" s="411"/>
      <c r="J319" s="411"/>
      <c r="K319" s="411"/>
      <c r="L319" s="411"/>
      <c r="M319" s="411"/>
      <c r="N319" s="411"/>
      <c r="O319" s="411"/>
      <c r="P319" s="411"/>
      <c r="Q319" s="504"/>
      <c r="R319" s="49"/>
    </row>
    <row r="320" spans="2:18" hidden="1">
      <c r="B320" s="94" t="s">
        <v>533</v>
      </c>
      <c r="C320" s="52"/>
      <c r="D320" s="60"/>
      <c r="E320" s="176" t="s">
        <v>761</v>
      </c>
      <c r="F320" s="28" t="s">
        <v>211</v>
      </c>
      <c r="G320" s="70">
        <f>IF(G319="",G318,G319)</f>
        <v>0.6</v>
      </c>
      <c r="H320" s="70">
        <f t="shared" ref="H320:P320" si="159">IF(H319="",H318,H319)</f>
        <v>0.3</v>
      </c>
      <c r="I320" s="70">
        <f t="shared" si="159"/>
        <v>0.3</v>
      </c>
      <c r="J320" s="70">
        <f t="shared" si="159"/>
        <v>0</v>
      </c>
      <c r="K320" s="70">
        <f t="shared" si="159"/>
        <v>0.6</v>
      </c>
      <c r="L320" s="70">
        <f t="shared" si="159"/>
        <v>0.6</v>
      </c>
      <c r="M320" s="70">
        <f t="shared" si="159"/>
        <v>0.6</v>
      </c>
      <c r="N320" s="70">
        <f t="shared" si="159"/>
        <v>0.6</v>
      </c>
      <c r="O320" s="70">
        <f t="shared" si="159"/>
        <v>0.6</v>
      </c>
      <c r="P320" s="70">
        <f t="shared" si="159"/>
        <v>0.6</v>
      </c>
      <c r="Q320" s="504"/>
      <c r="R320" s="49"/>
    </row>
    <row r="321" spans="2:18" hidden="1">
      <c r="B321" s="94" t="s">
        <v>533</v>
      </c>
      <c r="C321" s="56"/>
      <c r="D321" s="60"/>
      <c r="E321" s="176" t="s">
        <v>307</v>
      </c>
      <c r="F321" s="28" t="s">
        <v>219</v>
      </c>
      <c r="G321" s="58">
        <f t="shared" ref="G321:P321" si="160">G317*Conv_sqm_ha*G320</f>
        <v>0</v>
      </c>
      <c r="H321" s="58">
        <f t="shared" si="160"/>
        <v>0</v>
      </c>
      <c r="I321" s="58">
        <f t="shared" si="160"/>
        <v>0</v>
      </c>
      <c r="J321" s="58">
        <f t="shared" si="160"/>
        <v>0</v>
      </c>
      <c r="K321" s="58">
        <f t="shared" si="160"/>
        <v>0</v>
      </c>
      <c r="L321" s="58">
        <f t="shared" si="160"/>
        <v>0</v>
      </c>
      <c r="M321" s="58">
        <f t="shared" si="160"/>
        <v>0</v>
      </c>
      <c r="N321" s="58">
        <f t="shared" si="160"/>
        <v>0</v>
      </c>
      <c r="O321" s="58">
        <f t="shared" si="160"/>
        <v>0</v>
      </c>
      <c r="P321" s="58">
        <f t="shared" si="160"/>
        <v>0</v>
      </c>
      <c r="Q321" s="504"/>
      <c r="R321" s="55"/>
    </row>
    <row r="322" spans="2:18" hidden="1">
      <c r="B322" s="94" t="s">
        <v>533</v>
      </c>
      <c r="C322" s="50" t="s">
        <v>781</v>
      </c>
      <c r="D322" s="60"/>
      <c r="E322" s="176" t="s">
        <v>771</v>
      </c>
      <c r="F322" s="28" t="s">
        <v>241</v>
      </c>
      <c r="G322" s="54">
        <f>IF(G318=0,0,'Cost Schedule'!$D$482)</f>
        <v>0.39122153095927725</v>
      </c>
      <c r="H322" s="54">
        <f>IF(H318=0,0,'Cost Schedule'!$D$482)</f>
        <v>0.39122153095927725</v>
      </c>
      <c r="I322" s="54">
        <f>IF(I318=0,0,'Cost Schedule'!$D$482)</f>
        <v>0.39122153095927725</v>
      </c>
      <c r="J322" s="54">
        <f>IF(J318=0,0,'Cost Schedule'!$D$482)</f>
        <v>0</v>
      </c>
      <c r="K322" s="54">
        <f>IF(K318=0,0,'Cost Schedule'!$D$482)</f>
        <v>0.39122153095927725</v>
      </c>
      <c r="L322" s="54">
        <f>IF(L318=0,0,'Cost Schedule'!$D$482)</f>
        <v>0.39122153095927725</v>
      </c>
      <c r="M322" s="54">
        <f>IF(M318=0,0,'Cost Schedule'!$D$482)</f>
        <v>0.39122153095927725</v>
      </c>
      <c r="N322" s="54">
        <f>IF(N318=0,0,'Cost Schedule'!$D$482)</f>
        <v>0.39122153095927725</v>
      </c>
      <c r="O322" s="54">
        <f>IF(O318=0,0,'Cost Schedule'!$D$482)</f>
        <v>0.39122153095927725</v>
      </c>
      <c r="P322" s="54">
        <f>IF(P318=0,0,'Cost Schedule'!$D$482)</f>
        <v>0.39122153095927725</v>
      </c>
      <c r="Q322" s="504"/>
      <c r="R322" s="55"/>
    </row>
    <row r="323" spans="2:18" hidden="1">
      <c r="B323" s="94" t="s">
        <v>533</v>
      </c>
      <c r="C323" s="52"/>
      <c r="D323" s="60"/>
      <c r="E323" s="176" t="s">
        <v>772</v>
      </c>
      <c r="F323" s="28" t="s">
        <v>241</v>
      </c>
      <c r="G323" s="414"/>
      <c r="H323" s="414"/>
      <c r="I323" s="414"/>
      <c r="J323" s="414"/>
      <c r="K323" s="414"/>
      <c r="L323" s="414"/>
      <c r="M323" s="414"/>
      <c r="N323" s="414"/>
      <c r="O323" s="414"/>
      <c r="P323" s="414"/>
      <c r="Q323" s="504"/>
      <c r="R323" s="49"/>
    </row>
    <row r="324" spans="2:18" hidden="1">
      <c r="B324" s="94" t="s">
        <v>533</v>
      </c>
      <c r="C324" s="56"/>
      <c r="D324" s="60"/>
      <c r="E324" s="176" t="s">
        <v>782</v>
      </c>
      <c r="F324" s="28" t="s">
        <v>207</v>
      </c>
      <c r="G324" s="74">
        <f t="shared" ref="G324:P324" si="161">IF(G323="",G322,G323)*G321</f>
        <v>0</v>
      </c>
      <c r="H324" s="74">
        <f t="shared" si="161"/>
        <v>0</v>
      </c>
      <c r="I324" s="74">
        <f t="shared" si="161"/>
        <v>0</v>
      </c>
      <c r="J324" s="74">
        <f t="shared" si="161"/>
        <v>0</v>
      </c>
      <c r="K324" s="74">
        <f t="shared" si="161"/>
        <v>0</v>
      </c>
      <c r="L324" s="74">
        <f t="shared" si="161"/>
        <v>0</v>
      </c>
      <c r="M324" s="74">
        <f t="shared" si="161"/>
        <v>0</v>
      </c>
      <c r="N324" s="74">
        <f t="shared" si="161"/>
        <v>0</v>
      </c>
      <c r="O324" s="74">
        <f t="shared" si="161"/>
        <v>0</v>
      </c>
      <c r="P324" s="74">
        <f t="shared" si="161"/>
        <v>0</v>
      </c>
      <c r="Q324" s="504"/>
      <c r="R324" s="55"/>
    </row>
    <row r="325" spans="2:18" hidden="1">
      <c r="B325" s="94" t="s">
        <v>533</v>
      </c>
      <c r="C325" s="50" t="s">
        <v>783</v>
      </c>
      <c r="D325" s="60"/>
      <c r="E325" s="176" t="s">
        <v>227</v>
      </c>
      <c r="F325" s="28" t="s">
        <v>219</v>
      </c>
      <c r="G325" s="54">
        <f>'Cost Schedule'!$D$47</f>
        <v>5.2445056723647641</v>
      </c>
      <c r="H325" s="54">
        <f>'Cost Schedule'!$D$47</f>
        <v>5.2445056723647641</v>
      </c>
      <c r="I325" s="54">
        <f>'Cost Schedule'!$D$47</f>
        <v>5.2445056723647641</v>
      </c>
      <c r="J325" s="54">
        <f>'Cost Schedule'!$D$47</f>
        <v>5.2445056723647641</v>
      </c>
      <c r="K325" s="54">
        <f>'Cost Schedule'!$D$47</f>
        <v>5.2445056723647641</v>
      </c>
      <c r="L325" s="54">
        <f>'Cost Schedule'!$D$47</f>
        <v>5.2445056723647641</v>
      </c>
      <c r="M325" s="54">
        <f>'Cost Schedule'!$D$47</f>
        <v>5.2445056723647641</v>
      </c>
      <c r="N325" s="54">
        <f>'Cost Schedule'!$D$47</f>
        <v>5.2445056723647641</v>
      </c>
      <c r="O325" s="54">
        <f>'Cost Schedule'!$D$47</f>
        <v>5.2445056723647641</v>
      </c>
      <c r="P325" s="54">
        <f>'Cost Schedule'!$D$47</f>
        <v>5.2445056723647641</v>
      </c>
      <c r="Q325" s="504"/>
      <c r="R325" s="55"/>
    </row>
    <row r="326" spans="2:18" hidden="1">
      <c r="B326" s="94" t="s">
        <v>533</v>
      </c>
      <c r="C326" s="52"/>
      <c r="D326" s="60"/>
      <c r="E326" s="176" t="s">
        <v>229</v>
      </c>
      <c r="F326" s="28" t="s">
        <v>241</v>
      </c>
      <c r="G326" s="414"/>
      <c r="H326" s="414"/>
      <c r="I326" s="414"/>
      <c r="J326" s="414"/>
      <c r="K326" s="414"/>
      <c r="L326" s="414"/>
      <c r="M326" s="414"/>
      <c r="N326" s="414"/>
      <c r="O326" s="414"/>
      <c r="P326" s="414"/>
      <c r="Q326" s="504"/>
      <c r="R326" s="49"/>
    </row>
    <row r="327" spans="2:18" hidden="1">
      <c r="B327" s="94" t="s">
        <v>533</v>
      </c>
      <c r="C327" s="56"/>
      <c r="D327" s="60"/>
      <c r="E327" s="176" t="s">
        <v>146</v>
      </c>
      <c r="F327" s="28" t="s">
        <v>207</v>
      </c>
      <c r="G327" s="147">
        <f t="shared" ref="G327:P327" si="162">IF(G318=0,0,IF(G326="",G325,G326)*G321)</f>
        <v>0</v>
      </c>
      <c r="H327" s="147">
        <f t="shared" si="162"/>
        <v>0</v>
      </c>
      <c r="I327" s="147">
        <f t="shared" si="162"/>
        <v>0</v>
      </c>
      <c r="J327" s="147">
        <f t="shared" si="162"/>
        <v>0</v>
      </c>
      <c r="K327" s="147">
        <f t="shared" si="162"/>
        <v>0</v>
      </c>
      <c r="L327" s="147">
        <f t="shared" si="162"/>
        <v>0</v>
      </c>
      <c r="M327" s="147">
        <f t="shared" si="162"/>
        <v>0</v>
      </c>
      <c r="N327" s="147">
        <f t="shared" si="162"/>
        <v>0</v>
      </c>
      <c r="O327" s="147">
        <f t="shared" si="162"/>
        <v>0</v>
      </c>
      <c r="P327" s="147">
        <f t="shared" si="162"/>
        <v>0</v>
      </c>
      <c r="Q327" s="504"/>
      <c r="R327" s="49"/>
    </row>
    <row r="328" spans="2:18" ht="33.75" hidden="1">
      <c r="B328" s="94" t="s">
        <v>533</v>
      </c>
      <c r="C328" s="52" t="s">
        <v>557</v>
      </c>
      <c r="D328" s="60"/>
      <c r="E328" s="208" t="s">
        <v>784</v>
      </c>
      <c r="F328" s="28" t="s">
        <v>123</v>
      </c>
      <c r="G328" s="506" t="s">
        <v>763</v>
      </c>
      <c r="H328" s="506" t="s">
        <v>763</v>
      </c>
      <c r="I328" s="506" t="s">
        <v>763</v>
      </c>
      <c r="J328" s="506" t="s">
        <v>763</v>
      </c>
      <c r="K328" s="506" t="s">
        <v>763</v>
      </c>
      <c r="L328" s="506" t="s">
        <v>763</v>
      </c>
      <c r="M328" s="506" t="s">
        <v>763</v>
      </c>
      <c r="N328" s="506" t="s">
        <v>763</v>
      </c>
      <c r="O328" s="506" t="s">
        <v>763</v>
      </c>
      <c r="P328" s="506" t="s">
        <v>763</v>
      </c>
      <c r="Q328" s="504"/>
      <c r="R328" s="49"/>
    </row>
    <row r="329" spans="2:18" hidden="1">
      <c r="B329" s="94" t="s">
        <v>533</v>
      </c>
      <c r="C329" s="52"/>
      <c r="D329" s="60"/>
      <c r="E329" s="176" t="s">
        <v>227</v>
      </c>
      <c r="F329" s="28" t="s">
        <v>219</v>
      </c>
      <c r="G329" s="54">
        <f t="shared" ref="G329:P329" si="163">IF(G318=0,0,_xlfn.XLOOKUP(G328,Load_haul_fill_names_CS,Load_haul_fill_rates_CS))</f>
        <v>5.5772874469474321</v>
      </c>
      <c r="H329" s="54">
        <f t="shared" si="163"/>
        <v>5.5772874469474321</v>
      </c>
      <c r="I329" s="54">
        <f t="shared" si="163"/>
        <v>5.5772874469474321</v>
      </c>
      <c r="J329" s="54">
        <f t="shared" si="163"/>
        <v>0</v>
      </c>
      <c r="K329" s="54">
        <f t="shared" si="163"/>
        <v>5.5772874469474321</v>
      </c>
      <c r="L329" s="54">
        <f t="shared" si="163"/>
        <v>5.5772874469474321</v>
      </c>
      <c r="M329" s="54">
        <f t="shared" si="163"/>
        <v>5.5772874469474321</v>
      </c>
      <c r="N329" s="54">
        <f t="shared" si="163"/>
        <v>5.5772874469474321</v>
      </c>
      <c r="O329" s="54">
        <f t="shared" si="163"/>
        <v>5.5772874469474321</v>
      </c>
      <c r="P329" s="54">
        <f t="shared" si="163"/>
        <v>5.5772874469474321</v>
      </c>
      <c r="Q329" s="504"/>
      <c r="R329" s="55"/>
    </row>
    <row r="330" spans="2:18" hidden="1">
      <c r="B330" s="94" t="s">
        <v>533</v>
      </c>
      <c r="C330" s="52"/>
      <c r="D330" s="60"/>
      <c r="E330" s="176" t="s">
        <v>229</v>
      </c>
      <c r="F330" s="28" t="s">
        <v>241</v>
      </c>
      <c r="G330" s="414"/>
      <c r="H330" s="414"/>
      <c r="I330" s="414"/>
      <c r="J330" s="414"/>
      <c r="K330" s="414"/>
      <c r="L330" s="414"/>
      <c r="M330" s="414"/>
      <c r="N330" s="414"/>
      <c r="O330" s="414"/>
      <c r="P330" s="415"/>
      <c r="Q330" s="504"/>
      <c r="R330" s="49"/>
    </row>
    <row r="331" spans="2:18" hidden="1">
      <c r="B331" s="94" t="s">
        <v>533</v>
      </c>
      <c r="C331" s="56"/>
      <c r="D331" s="60"/>
      <c r="E331" s="176" t="s">
        <v>146</v>
      </c>
      <c r="F331" s="28" t="s">
        <v>207</v>
      </c>
      <c r="G331" s="127">
        <f t="shared" ref="G331:P331" si="164">IF(G330="",G329,G330)*G321</f>
        <v>0</v>
      </c>
      <c r="H331" s="127">
        <f t="shared" si="164"/>
        <v>0</v>
      </c>
      <c r="I331" s="127">
        <f t="shared" si="164"/>
        <v>0</v>
      </c>
      <c r="J331" s="127">
        <f t="shared" si="164"/>
        <v>0</v>
      </c>
      <c r="K331" s="127">
        <f t="shared" si="164"/>
        <v>0</v>
      </c>
      <c r="L331" s="127">
        <f t="shared" si="164"/>
        <v>0</v>
      </c>
      <c r="M331" s="127">
        <f t="shared" si="164"/>
        <v>0</v>
      </c>
      <c r="N331" s="127">
        <f t="shared" si="164"/>
        <v>0</v>
      </c>
      <c r="O331" s="127">
        <f t="shared" si="164"/>
        <v>0</v>
      </c>
      <c r="P331" s="127">
        <f t="shared" si="164"/>
        <v>0</v>
      </c>
      <c r="Q331" s="504"/>
      <c r="R331" s="49"/>
    </row>
    <row r="332" spans="2:18" hidden="1">
      <c r="B332" s="94" t="s">
        <v>533</v>
      </c>
      <c r="C332" s="50" t="s">
        <v>785</v>
      </c>
      <c r="D332" s="60"/>
      <c r="E332" s="176" t="s">
        <v>227</v>
      </c>
      <c r="F332" s="28" t="s">
        <v>219</v>
      </c>
      <c r="G332" s="54">
        <f>IF(G318=0,0,'Cost Schedule'!$D$482)</f>
        <v>0.39122153095927725</v>
      </c>
      <c r="H332" s="54">
        <f>IF(H318=0,0,'Cost Schedule'!$D$482)</f>
        <v>0.39122153095927725</v>
      </c>
      <c r="I332" s="54">
        <f>IF(I318=0,0,'Cost Schedule'!$D$482)</f>
        <v>0.39122153095927725</v>
      </c>
      <c r="J332" s="54">
        <f>IF(J318=0,0,'Cost Schedule'!$D$482)</f>
        <v>0</v>
      </c>
      <c r="K332" s="54">
        <f>IF(K318=0,0,'Cost Schedule'!$D$482)</f>
        <v>0.39122153095927725</v>
      </c>
      <c r="L332" s="54">
        <f>IF(L318=0,0,'Cost Schedule'!$D$482)</f>
        <v>0.39122153095927725</v>
      </c>
      <c r="M332" s="54">
        <f>IF(M318=0,0,'Cost Schedule'!$D$482)</f>
        <v>0.39122153095927725</v>
      </c>
      <c r="N332" s="54">
        <f>IF(N318=0,0,'Cost Schedule'!$D$482)</f>
        <v>0.39122153095927725</v>
      </c>
      <c r="O332" s="54">
        <f>IF(O318=0,0,'Cost Schedule'!$D$482)</f>
        <v>0.39122153095927725</v>
      </c>
      <c r="P332" s="54">
        <f>IF(P318=0,0,'Cost Schedule'!$D$482)</f>
        <v>0.39122153095927725</v>
      </c>
      <c r="Q332" s="504"/>
      <c r="R332" s="55"/>
    </row>
    <row r="333" spans="2:18" hidden="1">
      <c r="B333" s="94" t="s">
        <v>533</v>
      </c>
      <c r="C333" s="52"/>
      <c r="D333" s="60"/>
      <c r="E333" s="176" t="s">
        <v>229</v>
      </c>
      <c r="F333" s="28" t="s">
        <v>241</v>
      </c>
      <c r="G333" s="414"/>
      <c r="H333" s="414"/>
      <c r="I333" s="414"/>
      <c r="J333" s="414"/>
      <c r="K333" s="414"/>
      <c r="L333" s="414"/>
      <c r="M333" s="414"/>
      <c r="N333" s="414"/>
      <c r="O333" s="414"/>
      <c r="P333" s="414"/>
      <c r="Q333" s="504"/>
      <c r="R333" s="49"/>
    </row>
    <row r="334" spans="2:18" hidden="1">
      <c r="B334" s="94" t="s">
        <v>533</v>
      </c>
      <c r="C334" s="56"/>
      <c r="D334" s="45"/>
      <c r="E334" s="176" t="s">
        <v>146</v>
      </c>
      <c r="F334" s="28" t="s">
        <v>207</v>
      </c>
      <c r="G334" s="147">
        <f t="shared" ref="G334:P334" si="165">IF(G333="",G332,G333)*G321</f>
        <v>0</v>
      </c>
      <c r="H334" s="147">
        <f t="shared" si="165"/>
        <v>0</v>
      </c>
      <c r="I334" s="147">
        <f t="shared" si="165"/>
        <v>0</v>
      </c>
      <c r="J334" s="147">
        <f t="shared" si="165"/>
        <v>0</v>
      </c>
      <c r="K334" s="147">
        <f t="shared" si="165"/>
        <v>0</v>
      </c>
      <c r="L334" s="147">
        <f t="shared" si="165"/>
        <v>0</v>
      </c>
      <c r="M334" s="147">
        <f t="shared" si="165"/>
        <v>0</v>
      </c>
      <c r="N334" s="147">
        <f t="shared" si="165"/>
        <v>0</v>
      </c>
      <c r="O334" s="147">
        <f t="shared" si="165"/>
        <v>0</v>
      </c>
      <c r="P334" s="147">
        <f t="shared" si="165"/>
        <v>0</v>
      </c>
      <c r="Q334" s="504"/>
      <c r="R334" s="49"/>
    </row>
    <row r="335" spans="2:18" hidden="1">
      <c r="B335" s="94" t="s">
        <v>533</v>
      </c>
      <c r="C335" s="200"/>
      <c r="D335" s="188"/>
      <c r="E335" s="205" t="str">
        <f>C315</f>
        <v>Construct capillary break</v>
      </c>
      <c r="F335" s="72"/>
      <c r="G335" s="80">
        <f t="shared" ref="G335:P335" si="166">G324+G327+G331+G334</f>
        <v>0</v>
      </c>
      <c r="H335" s="80">
        <f t="shared" si="166"/>
        <v>0</v>
      </c>
      <c r="I335" s="80">
        <f t="shared" si="166"/>
        <v>0</v>
      </c>
      <c r="J335" s="80">
        <f t="shared" si="166"/>
        <v>0</v>
      </c>
      <c r="K335" s="80">
        <f t="shared" si="166"/>
        <v>0</v>
      </c>
      <c r="L335" s="80">
        <f t="shared" si="166"/>
        <v>0</v>
      </c>
      <c r="M335" s="80">
        <f t="shared" si="166"/>
        <v>0</v>
      </c>
      <c r="N335" s="80">
        <f t="shared" si="166"/>
        <v>0</v>
      </c>
      <c r="O335" s="80">
        <f t="shared" si="166"/>
        <v>0</v>
      </c>
      <c r="P335" s="80">
        <f t="shared" si="166"/>
        <v>0</v>
      </c>
      <c r="Q335" s="504"/>
      <c r="R335" s="49"/>
    </row>
    <row r="336" spans="2:18" hidden="1">
      <c r="B336" s="94" t="s">
        <v>533</v>
      </c>
      <c r="C336" s="187" t="s">
        <v>786</v>
      </c>
      <c r="D336" s="192" t="s">
        <v>787</v>
      </c>
      <c r="E336" s="176" t="s">
        <v>623</v>
      </c>
      <c r="F336" s="28" t="s">
        <v>299</v>
      </c>
      <c r="G336" s="70">
        <f t="shared" ref="G336:P336" si="167">G$276</f>
        <v>0</v>
      </c>
      <c r="H336" s="70">
        <f t="shared" si="167"/>
        <v>0</v>
      </c>
      <c r="I336" s="70">
        <f t="shared" si="167"/>
        <v>0</v>
      </c>
      <c r="J336" s="70">
        <f t="shared" si="167"/>
        <v>0</v>
      </c>
      <c r="K336" s="70">
        <f t="shared" si="167"/>
        <v>0</v>
      </c>
      <c r="L336" s="70">
        <f t="shared" si="167"/>
        <v>0</v>
      </c>
      <c r="M336" s="70">
        <f t="shared" si="167"/>
        <v>0</v>
      </c>
      <c r="N336" s="70">
        <f t="shared" si="167"/>
        <v>0</v>
      </c>
      <c r="O336" s="70">
        <f t="shared" si="167"/>
        <v>0</v>
      </c>
      <c r="P336" s="70">
        <f t="shared" si="167"/>
        <v>0</v>
      </c>
      <c r="Q336" s="504"/>
      <c r="R336" s="55"/>
    </row>
    <row r="337" spans="2:18" hidden="1">
      <c r="B337" s="94" t="s">
        <v>533</v>
      </c>
      <c r="C337" s="183"/>
      <c r="D337" s="194"/>
      <c r="E337" s="176" t="s">
        <v>624</v>
      </c>
      <c r="F337" s="28" t="s">
        <v>299</v>
      </c>
      <c r="G337" s="411"/>
      <c r="H337" s="411"/>
      <c r="I337" s="411"/>
      <c r="J337" s="411"/>
      <c r="K337" s="411"/>
      <c r="L337" s="411"/>
      <c r="M337" s="411"/>
      <c r="N337" s="411"/>
      <c r="O337" s="411"/>
      <c r="P337" s="411"/>
      <c r="Q337" s="504"/>
      <c r="R337" s="49"/>
    </row>
    <row r="338" spans="2:18" hidden="1">
      <c r="B338" s="94" t="s">
        <v>533</v>
      </c>
      <c r="C338" s="183"/>
      <c r="D338" s="194"/>
      <c r="E338" s="176" t="s">
        <v>625</v>
      </c>
      <c r="F338" s="28" t="s">
        <v>299</v>
      </c>
      <c r="G338" s="70">
        <f t="shared" ref="G338:P338" si="168">IF(G337="",G336,G337)</f>
        <v>0</v>
      </c>
      <c r="H338" s="70">
        <f t="shared" si="168"/>
        <v>0</v>
      </c>
      <c r="I338" s="70">
        <f t="shared" si="168"/>
        <v>0</v>
      </c>
      <c r="J338" s="70">
        <f t="shared" si="168"/>
        <v>0</v>
      </c>
      <c r="K338" s="70">
        <f t="shared" si="168"/>
        <v>0</v>
      </c>
      <c r="L338" s="70">
        <f t="shared" si="168"/>
        <v>0</v>
      </c>
      <c r="M338" s="70">
        <f t="shared" si="168"/>
        <v>0</v>
      </c>
      <c r="N338" s="70">
        <f t="shared" si="168"/>
        <v>0</v>
      </c>
      <c r="O338" s="70">
        <f t="shared" si="168"/>
        <v>0</v>
      </c>
      <c r="P338" s="70">
        <f t="shared" si="168"/>
        <v>0</v>
      </c>
      <c r="Q338" s="504"/>
      <c r="R338" s="55"/>
    </row>
    <row r="339" spans="2:18" hidden="1">
      <c r="B339" s="94" t="s">
        <v>533</v>
      </c>
      <c r="C339" s="183"/>
      <c r="D339" s="194"/>
      <c r="E339" s="176" t="s">
        <v>759</v>
      </c>
      <c r="F339" s="28" t="s">
        <v>211</v>
      </c>
      <c r="G339" s="70">
        <f>_xlfn.XLOOKUP(G$274,'Assumptions - Capping'!$E$4:$H$4,'Assumptions - Capping'!$E$27:$H$27)</f>
        <v>0.5</v>
      </c>
      <c r="H339" s="70">
        <f>_xlfn.XLOOKUP(H$274,'Assumptions - Capping'!$E$4:$H$4,'Assumptions - Capping'!$E$27:$H$27)</f>
        <v>0</v>
      </c>
      <c r="I339" s="70">
        <f>_xlfn.XLOOKUP(I$274,'Assumptions - Capping'!$E$4:$H$4,'Assumptions - Capping'!$E$27:$H$27)</f>
        <v>0</v>
      </c>
      <c r="J339" s="70">
        <f>_xlfn.XLOOKUP(J$274,'Assumptions - Capping'!$E$4:$H$4,'Assumptions - Capping'!$E$27:$H$27)</f>
        <v>0</v>
      </c>
      <c r="K339" s="70">
        <f>_xlfn.XLOOKUP(K$274,'Assumptions - Capping'!$E$4:$H$4,'Assumptions - Capping'!$E$27:$H$27)</f>
        <v>0.5</v>
      </c>
      <c r="L339" s="70">
        <f>_xlfn.XLOOKUP(L$274,'Assumptions - Capping'!$E$4:$H$4,'Assumptions - Capping'!$E$27:$H$27)</f>
        <v>0.5</v>
      </c>
      <c r="M339" s="70">
        <f>_xlfn.XLOOKUP(M$274,'Assumptions - Capping'!$E$4:$H$4,'Assumptions - Capping'!$E$27:$H$27)</f>
        <v>0.5</v>
      </c>
      <c r="N339" s="70">
        <f>_xlfn.XLOOKUP(N$274,'Assumptions - Capping'!$E$4:$H$4,'Assumptions - Capping'!$E$27:$H$27)</f>
        <v>0.5</v>
      </c>
      <c r="O339" s="70">
        <f>_xlfn.XLOOKUP(O$274,'Assumptions - Capping'!$E$4:$H$4,'Assumptions - Capping'!$E$27:$H$27)</f>
        <v>0.5</v>
      </c>
      <c r="P339" s="70">
        <f>_xlfn.XLOOKUP(P$274,'Assumptions - Capping'!$E$4:$H$4,'Assumptions - Capping'!$E$27:$H$27)</f>
        <v>0.5</v>
      </c>
      <c r="Q339" s="504"/>
      <c r="R339" s="49"/>
    </row>
    <row r="340" spans="2:18" hidden="1">
      <c r="B340" s="94" t="s">
        <v>533</v>
      </c>
      <c r="C340" s="183"/>
      <c r="D340" s="194"/>
      <c r="E340" s="176" t="s">
        <v>760</v>
      </c>
      <c r="F340" s="28" t="s">
        <v>211</v>
      </c>
      <c r="G340" s="411"/>
      <c r="H340" s="411"/>
      <c r="I340" s="411"/>
      <c r="J340" s="411"/>
      <c r="K340" s="411"/>
      <c r="L340" s="411"/>
      <c r="M340" s="411"/>
      <c r="N340" s="411"/>
      <c r="O340" s="411"/>
      <c r="P340" s="411"/>
      <c r="Q340" s="504"/>
      <c r="R340" s="49"/>
    </row>
    <row r="341" spans="2:18" hidden="1">
      <c r="B341" s="94" t="s">
        <v>533</v>
      </c>
      <c r="C341" s="183"/>
      <c r="D341" s="194"/>
      <c r="E341" s="176" t="s">
        <v>761</v>
      </c>
      <c r="F341" s="28" t="s">
        <v>211</v>
      </c>
      <c r="G341" s="70">
        <f>IF(G340="",G339,G340)</f>
        <v>0.5</v>
      </c>
      <c r="H341" s="70">
        <f t="shared" ref="H341:P341" si="169">IF(H340="",H339,H340)</f>
        <v>0</v>
      </c>
      <c r="I341" s="70">
        <f t="shared" si="169"/>
        <v>0</v>
      </c>
      <c r="J341" s="70">
        <f t="shared" si="169"/>
        <v>0</v>
      </c>
      <c r="K341" s="70">
        <f t="shared" si="169"/>
        <v>0.5</v>
      </c>
      <c r="L341" s="70">
        <f t="shared" si="169"/>
        <v>0.5</v>
      </c>
      <c r="M341" s="70">
        <f t="shared" si="169"/>
        <v>0.5</v>
      </c>
      <c r="N341" s="70">
        <f t="shared" si="169"/>
        <v>0.5</v>
      </c>
      <c r="O341" s="70">
        <f t="shared" si="169"/>
        <v>0.5</v>
      </c>
      <c r="P341" s="70">
        <f t="shared" si="169"/>
        <v>0.5</v>
      </c>
      <c r="Q341" s="504"/>
      <c r="R341" s="49"/>
    </row>
    <row r="342" spans="2:18" hidden="1">
      <c r="B342" s="94" t="s">
        <v>533</v>
      </c>
      <c r="C342" s="183"/>
      <c r="D342" s="194"/>
      <c r="E342" s="176" t="s">
        <v>307</v>
      </c>
      <c r="F342" s="28" t="s">
        <v>219</v>
      </c>
      <c r="G342" s="58">
        <f t="shared" ref="G342:P342" si="170">G338*Conv_sqm_ha*G341</f>
        <v>0</v>
      </c>
      <c r="H342" s="58">
        <f t="shared" si="170"/>
        <v>0</v>
      </c>
      <c r="I342" s="58">
        <f t="shared" si="170"/>
        <v>0</v>
      </c>
      <c r="J342" s="58">
        <f t="shared" si="170"/>
        <v>0</v>
      </c>
      <c r="K342" s="58">
        <f t="shared" si="170"/>
        <v>0</v>
      </c>
      <c r="L342" s="58">
        <f t="shared" si="170"/>
        <v>0</v>
      </c>
      <c r="M342" s="58">
        <f t="shared" si="170"/>
        <v>0</v>
      </c>
      <c r="N342" s="58">
        <f t="shared" si="170"/>
        <v>0</v>
      </c>
      <c r="O342" s="58">
        <f t="shared" si="170"/>
        <v>0</v>
      </c>
      <c r="P342" s="58">
        <f t="shared" si="170"/>
        <v>0</v>
      </c>
      <c r="Q342" s="504"/>
      <c r="R342" s="55"/>
    </row>
    <row r="343" spans="2:18" hidden="1">
      <c r="B343" s="94" t="s">
        <v>533</v>
      </c>
      <c r="C343" s="185"/>
      <c r="D343" s="194"/>
      <c r="E343" s="176" t="s">
        <v>322</v>
      </c>
      <c r="F343" s="28" t="s">
        <v>221</v>
      </c>
      <c r="G343" s="58">
        <f t="shared" ref="G343:P343" si="171">G342*Soil_density_clay</f>
        <v>0</v>
      </c>
      <c r="H343" s="58">
        <f t="shared" si="171"/>
        <v>0</v>
      </c>
      <c r="I343" s="58">
        <f t="shared" si="171"/>
        <v>0</v>
      </c>
      <c r="J343" s="58">
        <f t="shared" si="171"/>
        <v>0</v>
      </c>
      <c r="K343" s="58">
        <f t="shared" si="171"/>
        <v>0</v>
      </c>
      <c r="L343" s="58">
        <f t="shared" si="171"/>
        <v>0</v>
      </c>
      <c r="M343" s="58">
        <f t="shared" si="171"/>
        <v>0</v>
      </c>
      <c r="N343" s="58">
        <f t="shared" si="171"/>
        <v>0</v>
      </c>
      <c r="O343" s="58">
        <f t="shared" si="171"/>
        <v>0</v>
      </c>
      <c r="P343" s="58">
        <f t="shared" si="171"/>
        <v>0</v>
      </c>
      <c r="Q343" s="504"/>
      <c r="R343" s="55"/>
    </row>
    <row r="344" spans="2:18" hidden="1">
      <c r="B344" s="94" t="s">
        <v>533</v>
      </c>
      <c r="C344" s="191" t="s">
        <v>788</v>
      </c>
      <c r="D344" s="196"/>
      <c r="E344" s="176" t="s">
        <v>789</v>
      </c>
      <c r="F344" s="28" t="s">
        <v>123</v>
      </c>
      <c r="G344" s="507" t="s">
        <v>790</v>
      </c>
      <c r="H344" s="507" t="s">
        <v>791</v>
      </c>
      <c r="I344" s="507" t="s">
        <v>791</v>
      </c>
      <c r="J344" s="507" t="s">
        <v>791</v>
      </c>
      <c r="K344" s="507" t="s">
        <v>791</v>
      </c>
      <c r="L344" s="507" t="s">
        <v>791</v>
      </c>
      <c r="M344" s="507" t="s">
        <v>791</v>
      </c>
      <c r="N344" s="507" t="s">
        <v>791</v>
      </c>
      <c r="O344" s="507" t="s">
        <v>791</v>
      </c>
      <c r="P344" s="507" t="s">
        <v>791</v>
      </c>
      <c r="Q344" s="504"/>
      <c r="R344" s="55"/>
    </row>
    <row r="345" spans="2:18" hidden="1">
      <c r="B345" s="94" t="s">
        <v>533</v>
      </c>
      <c r="C345" s="191" t="s">
        <v>792</v>
      </c>
      <c r="D345" s="192" t="s">
        <v>793</v>
      </c>
      <c r="E345" s="176" t="s">
        <v>794</v>
      </c>
      <c r="F345" s="28" t="s">
        <v>241</v>
      </c>
      <c r="G345" s="54">
        <f>IF(G339=0,0,IF(G344=Off_site,0,'Cost Schedule'!$D$482))</f>
        <v>0</v>
      </c>
      <c r="H345" s="54">
        <f>IF(H339=0,0,IF(H344=Off_site,0,'Cost Schedule'!$D$482))</f>
        <v>0</v>
      </c>
      <c r="I345" s="54">
        <f>IF(I339=0,0,IF(I344=Off_site,0,'Cost Schedule'!$D$482))</f>
        <v>0</v>
      </c>
      <c r="J345" s="54">
        <f>IF(J339=0,0,IF(J344=Off_site,0,'Cost Schedule'!$D$482))</f>
        <v>0</v>
      </c>
      <c r="K345" s="54">
        <f>IF(K339=0,0,IF(K344=Off_site,0,'Cost Schedule'!$D$482))</f>
        <v>0.39122153095927725</v>
      </c>
      <c r="L345" s="54">
        <f>IF(L339=0,0,IF(L344=Off_site,0,'Cost Schedule'!$D$482))</f>
        <v>0.39122153095927725</v>
      </c>
      <c r="M345" s="54">
        <f>IF(M339=0,0,IF(M344=Off_site,0,'Cost Schedule'!$D$482))</f>
        <v>0.39122153095927725</v>
      </c>
      <c r="N345" s="54">
        <f>IF(N339=0,0,IF(N344=Off_site,0,'Cost Schedule'!$D$482))</f>
        <v>0.39122153095927725</v>
      </c>
      <c r="O345" s="54">
        <f>IF(O339=0,0,IF(O344=Off_site,0,'Cost Schedule'!$D$482))</f>
        <v>0.39122153095927725</v>
      </c>
      <c r="P345" s="54">
        <f>IF(P339=0,0,IF(P344=Off_site,0,'Cost Schedule'!$D$482))</f>
        <v>0.39122153095927725</v>
      </c>
      <c r="Q345" s="504"/>
      <c r="R345" s="55"/>
    </row>
    <row r="346" spans="2:18" hidden="1">
      <c r="B346" s="94" t="s">
        <v>533</v>
      </c>
      <c r="C346" s="191"/>
      <c r="D346" s="194"/>
      <c r="E346" s="176" t="s">
        <v>795</v>
      </c>
      <c r="F346" s="28" t="s">
        <v>241</v>
      </c>
      <c r="G346" s="414"/>
      <c r="H346" s="414"/>
      <c r="I346" s="414"/>
      <c r="J346" s="414"/>
      <c r="K346" s="414"/>
      <c r="L346" s="414"/>
      <c r="M346" s="414"/>
      <c r="N346" s="414"/>
      <c r="O346" s="414"/>
      <c r="P346" s="414"/>
      <c r="Q346" s="504"/>
      <c r="R346" s="49"/>
    </row>
    <row r="347" spans="2:18" hidden="1">
      <c r="B347" s="94" t="s">
        <v>533</v>
      </c>
      <c r="C347" s="191" t="s">
        <v>796</v>
      </c>
      <c r="D347" s="194"/>
      <c r="E347" s="176" t="s">
        <v>782</v>
      </c>
      <c r="F347" s="28" t="s">
        <v>207</v>
      </c>
      <c r="G347" s="126">
        <f t="shared" ref="G347:P347" si="172">IF(G346="",G345,G346)*G342</f>
        <v>0</v>
      </c>
      <c r="H347" s="126">
        <f t="shared" si="172"/>
        <v>0</v>
      </c>
      <c r="I347" s="126">
        <f t="shared" si="172"/>
        <v>0</v>
      </c>
      <c r="J347" s="126">
        <f t="shared" si="172"/>
        <v>0</v>
      </c>
      <c r="K347" s="126">
        <f t="shared" si="172"/>
        <v>0</v>
      </c>
      <c r="L347" s="126">
        <f t="shared" si="172"/>
        <v>0</v>
      </c>
      <c r="M347" s="126">
        <f t="shared" si="172"/>
        <v>0</v>
      </c>
      <c r="N347" s="126">
        <f t="shared" si="172"/>
        <v>0</v>
      </c>
      <c r="O347" s="126">
        <f t="shared" si="172"/>
        <v>0</v>
      </c>
      <c r="P347" s="126">
        <f t="shared" si="172"/>
        <v>0</v>
      </c>
      <c r="Q347" s="504"/>
      <c r="R347" s="55"/>
    </row>
    <row r="348" spans="2:18" ht="33.75" hidden="1">
      <c r="B348" s="94" t="s">
        <v>533</v>
      </c>
      <c r="C348" s="181" t="s">
        <v>557</v>
      </c>
      <c r="D348" s="194"/>
      <c r="E348" s="208" t="s">
        <v>797</v>
      </c>
      <c r="F348" s="28" t="s">
        <v>123</v>
      </c>
      <c r="G348" s="506" t="s">
        <v>763</v>
      </c>
      <c r="H348" s="506" t="s">
        <v>763</v>
      </c>
      <c r="I348" s="506" t="s">
        <v>763</v>
      </c>
      <c r="J348" s="506" t="s">
        <v>763</v>
      </c>
      <c r="K348" s="506" t="s">
        <v>763</v>
      </c>
      <c r="L348" s="506" t="s">
        <v>763</v>
      </c>
      <c r="M348" s="506" t="s">
        <v>763</v>
      </c>
      <c r="N348" s="506" t="s">
        <v>763</v>
      </c>
      <c r="O348" s="506" t="s">
        <v>763</v>
      </c>
      <c r="P348" s="506" t="s">
        <v>763</v>
      </c>
      <c r="Q348" s="504"/>
      <c r="R348" s="49"/>
    </row>
    <row r="349" spans="2:18" hidden="1">
      <c r="B349" s="94" t="s">
        <v>533</v>
      </c>
      <c r="C349" s="183"/>
      <c r="D349" s="194"/>
      <c r="E349" s="208" t="s">
        <v>798</v>
      </c>
      <c r="F349" s="28" t="s">
        <v>241</v>
      </c>
      <c r="G349" s="54">
        <f t="shared" ref="G349:P349" si="173">IF(G339=0,0,IF(G344=Off_site,0,_xlfn.XLOOKUP(G348,Load_haul_fill_names_CS,Load_haul_fill_rates_CS)))</f>
        <v>0</v>
      </c>
      <c r="H349" s="54">
        <f t="shared" si="173"/>
        <v>0</v>
      </c>
      <c r="I349" s="54">
        <f t="shared" si="173"/>
        <v>0</v>
      </c>
      <c r="J349" s="54">
        <f t="shared" si="173"/>
        <v>0</v>
      </c>
      <c r="K349" s="54">
        <f t="shared" si="173"/>
        <v>5.5772874469474321</v>
      </c>
      <c r="L349" s="54">
        <f t="shared" si="173"/>
        <v>5.5772874469474321</v>
      </c>
      <c r="M349" s="54">
        <f t="shared" si="173"/>
        <v>5.5772874469474321</v>
      </c>
      <c r="N349" s="54">
        <f t="shared" si="173"/>
        <v>5.5772874469474321</v>
      </c>
      <c r="O349" s="54">
        <f t="shared" si="173"/>
        <v>5.5772874469474321</v>
      </c>
      <c r="P349" s="54">
        <f t="shared" si="173"/>
        <v>5.5772874469474321</v>
      </c>
      <c r="Q349" s="504"/>
      <c r="R349" s="55"/>
    </row>
    <row r="350" spans="2:18" hidden="1">
      <c r="B350" s="94" t="s">
        <v>533</v>
      </c>
      <c r="C350" s="183"/>
      <c r="D350" s="194"/>
      <c r="E350" s="208" t="s">
        <v>799</v>
      </c>
      <c r="F350" s="28" t="s">
        <v>241</v>
      </c>
      <c r="G350" s="414"/>
      <c r="H350" s="414"/>
      <c r="I350" s="414"/>
      <c r="J350" s="414"/>
      <c r="K350" s="414"/>
      <c r="L350" s="414"/>
      <c r="M350" s="414"/>
      <c r="N350" s="414"/>
      <c r="O350" s="414"/>
      <c r="P350" s="414"/>
      <c r="Q350" s="504"/>
      <c r="R350" s="55"/>
    </row>
    <row r="351" spans="2:18" hidden="1">
      <c r="B351" s="94" t="s">
        <v>533</v>
      </c>
      <c r="C351" s="185"/>
      <c r="D351" s="196"/>
      <c r="E351" s="176" t="s">
        <v>146</v>
      </c>
      <c r="F351" s="28" t="s">
        <v>207</v>
      </c>
      <c r="G351" s="130">
        <f t="shared" ref="G351:P351" si="174">IF(G350="",G349,G350)*G342</f>
        <v>0</v>
      </c>
      <c r="H351" s="130">
        <f t="shared" si="174"/>
        <v>0</v>
      </c>
      <c r="I351" s="130">
        <f t="shared" si="174"/>
        <v>0</v>
      </c>
      <c r="J351" s="130">
        <f t="shared" si="174"/>
        <v>0</v>
      </c>
      <c r="K351" s="130">
        <f t="shared" si="174"/>
        <v>0</v>
      </c>
      <c r="L351" s="130">
        <f t="shared" si="174"/>
        <v>0</v>
      </c>
      <c r="M351" s="130">
        <f t="shared" si="174"/>
        <v>0</v>
      </c>
      <c r="N351" s="130">
        <f t="shared" si="174"/>
        <v>0</v>
      </c>
      <c r="O351" s="130">
        <f t="shared" si="174"/>
        <v>0</v>
      </c>
      <c r="P351" s="130">
        <f t="shared" si="174"/>
        <v>0</v>
      </c>
      <c r="Q351" s="504"/>
      <c r="R351" s="49"/>
    </row>
    <row r="352" spans="2:18" hidden="1">
      <c r="B352" s="94" t="s">
        <v>533</v>
      </c>
      <c r="C352" s="181" t="s">
        <v>800</v>
      </c>
      <c r="D352" s="192" t="s">
        <v>542</v>
      </c>
      <c r="E352" s="176" t="s">
        <v>801</v>
      </c>
      <c r="F352" s="28" t="s">
        <v>241</v>
      </c>
      <c r="G352" s="54">
        <f t="shared" ref="G352:P352" si="175">IF(G339=0,0,IF(G344=Borrow_Pit,0,Capping_clay_purchase_rate))</f>
        <v>56.275440499999995</v>
      </c>
      <c r="H352" s="54">
        <f t="shared" si="175"/>
        <v>0</v>
      </c>
      <c r="I352" s="54">
        <f t="shared" si="175"/>
        <v>0</v>
      </c>
      <c r="J352" s="54">
        <f t="shared" si="175"/>
        <v>0</v>
      </c>
      <c r="K352" s="54">
        <f t="shared" si="175"/>
        <v>0</v>
      </c>
      <c r="L352" s="54">
        <f t="shared" si="175"/>
        <v>0</v>
      </c>
      <c r="M352" s="54">
        <f t="shared" si="175"/>
        <v>0</v>
      </c>
      <c r="N352" s="54">
        <f t="shared" si="175"/>
        <v>0</v>
      </c>
      <c r="O352" s="54">
        <f t="shared" si="175"/>
        <v>0</v>
      </c>
      <c r="P352" s="54">
        <f t="shared" si="175"/>
        <v>0</v>
      </c>
      <c r="Q352" s="504"/>
      <c r="R352" s="150"/>
    </row>
    <row r="353" spans="2:18" hidden="1">
      <c r="B353" s="94" t="s">
        <v>533</v>
      </c>
      <c r="C353" s="183"/>
      <c r="D353" s="194"/>
      <c r="E353" s="176" t="s">
        <v>802</v>
      </c>
      <c r="F353" s="28" t="s">
        <v>241</v>
      </c>
      <c r="G353" s="414"/>
      <c r="H353" s="414"/>
      <c r="I353" s="414"/>
      <c r="J353" s="414"/>
      <c r="K353" s="414"/>
      <c r="L353" s="414"/>
      <c r="M353" s="414"/>
      <c r="N353" s="414"/>
      <c r="O353" s="414"/>
      <c r="P353" s="414"/>
      <c r="Q353" s="504"/>
      <c r="R353" s="49"/>
    </row>
    <row r="354" spans="2:18" hidden="1">
      <c r="B354" s="94" t="s">
        <v>533</v>
      </c>
      <c r="C354" s="185"/>
      <c r="D354" s="194"/>
      <c r="E354" s="176" t="s">
        <v>146</v>
      </c>
      <c r="F354" s="28" t="s">
        <v>207</v>
      </c>
      <c r="G354" s="126">
        <f t="shared" ref="G354:P354" si="176">IF(G353="",G352,G353)*G342</f>
        <v>0</v>
      </c>
      <c r="H354" s="126">
        <f t="shared" si="176"/>
        <v>0</v>
      </c>
      <c r="I354" s="126">
        <f t="shared" si="176"/>
        <v>0</v>
      </c>
      <c r="J354" s="126">
        <f t="shared" si="176"/>
        <v>0</v>
      </c>
      <c r="K354" s="126">
        <f t="shared" si="176"/>
        <v>0</v>
      </c>
      <c r="L354" s="126">
        <f t="shared" si="176"/>
        <v>0</v>
      </c>
      <c r="M354" s="126">
        <f t="shared" si="176"/>
        <v>0</v>
      </c>
      <c r="N354" s="126">
        <f t="shared" si="176"/>
        <v>0</v>
      </c>
      <c r="O354" s="126">
        <f t="shared" si="176"/>
        <v>0</v>
      </c>
      <c r="P354" s="126">
        <f t="shared" si="176"/>
        <v>0</v>
      </c>
      <c r="Q354" s="504"/>
      <c r="R354" s="49"/>
    </row>
    <row r="355" spans="2:18" ht="22.5" hidden="1">
      <c r="B355" s="94" t="s">
        <v>533</v>
      </c>
      <c r="C355" s="181" t="s">
        <v>557</v>
      </c>
      <c r="D355" s="194"/>
      <c r="E355" s="208" t="s">
        <v>803</v>
      </c>
      <c r="F355" s="28" t="s">
        <v>123</v>
      </c>
      <c r="G355" s="507" t="s">
        <v>804</v>
      </c>
      <c r="H355" s="507" t="s">
        <v>804</v>
      </c>
      <c r="I355" s="507" t="s">
        <v>804</v>
      </c>
      <c r="J355" s="507" t="s">
        <v>804</v>
      </c>
      <c r="K355" s="507" t="s">
        <v>804</v>
      </c>
      <c r="L355" s="507" t="s">
        <v>804</v>
      </c>
      <c r="M355" s="507" t="s">
        <v>804</v>
      </c>
      <c r="N355" s="507" t="s">
        <v>804</v>
      </c>
      <c r="O355" s="507" t="s">
        <v>804</v>
      </c>
      <c r="P355" s="507" t="s">
        <v>804</v>
      </c>
      <c r="Q355" s="504"/>
      <c r="R355" s="49"/>
    </row>
    <row r="356" spans="2:18" ht="22.5" hidden="1">
      <c r="B356" s="94" t="s">
        <v>533</v>
      </c>
      <c r="C356" s="183"/>
      <c r="D356" s="194"/>
      <c r="E356" s="208" t="s">
        <v>805</v>
      </c>
      <c r="F356" s="28" t="s">
        <v>234</v>
      </c>
      <c r="G356" s="54">
        <f t="shared" ref="G356:P356" si="177">IF(G339=0,0,IF(G344=Borrow_Pit,0,_xlfn.XLOOKUP(G355,Long_haul_clay_names_CS,Long_haul_clay_rates_CS)))</f>
        <v>0.10112755253077801</v>
      </c>
      <c r="H356" s="54">
        <f t="shared" si="177"/>
        <v>0</v>
      </c>
      <c r="I356" s="54">
        <f t="shared" si="177"/>
        <v>0</v>
      </c>
      <c r="J356" s="54">
        <f t="shared" si="177"/>
        <v>0</v>
      </c>
      <c r="K356" s="54">
        <f t="shared" si="177"/>
        <v>0</v>
      </c>
      <c r="L356" s="54">
        <f t="shared" si="177"/>
        <v>0</v>
      </c>
      <c r="M356" s="54">
        <f t="shared" si="177"/>
        <v>0</v>
      </c>
      <c r="N356" s="54">
        <f t="shared" si="177"/>
        <v>0</v>
      </c>
      <c r="O356" s="54">
        <f t="shared" si="177"/>
        <v>0</v>
      </c>
      <c r="P356" s="54">
        <f t="shared" si="177"/>
        <v>0</v>
      </c>
      <c r="Q356" s="504"/>
      <c r="R356" s="55"/>
    </row>
    <row r="357" spans="2:18" ht="22.5" hidden="1">
      <c r="B357" s="94" t="s">
        <v>533</v>
      </c>
      <c r="C357" s="183"/>
      <c r="D357" s="194"/>
      <c r="E357" s="208" t="s">
        <v>806</v>
      </c>
      <c r="F357" s="28" t="s">
        <v>234</v>
      </c>
      <c r="G357" s="414"/>
      <c r="H357" s="414"/>
      <c r="I357" s="414"/>
      <c r="J357" s="414"/>
      <c r="K357" s="414"/>
      <c r="L357" s="414"/>
      <c r="M357" s="414"/>
      <c r="N357" s="414"/>
      <c r="O357" s="414"/>
      <c r="P357" s="414"/>
      <c r="Q357" s="504"/>
      <c r="R357" s="55"/>
    </row>
    <row r="358" spans="2:18" hidden="1">
      <c r="B358" s="94" t="s">
        <v>533</v>
      </c>
      <c r="C358" s="185"/>
      <c r="D358" s="196"/>
      <c r="E358" s="176" t="s">
        <v>146</v>
      </c>
      <c r="F358" s="28" t="s">
        <v>207</v>
      </c>
      <c r="G358" s="126">
        <f t="shared" ref="G358:P358" si="178">IF(G357="",G356,G357)*G343*_xlfn.XLOOKUP(G355,Long_haul_distance_names_L,Long_haul_distances_average_L)</f>
        <v>0</v>
      </c>
      <c r="H358" s="126">
        <f t="shared" si="178"/>
        <v>0</v>
      </c>
      <c r="I358" s="126">
        <f t="shared" si="178"/>
        <v>0</v>
      </c>
      <c r="J358" s="126">
        <f t="shared" si="178"/>
        <v>0</v>
      </c>
      <c r="K358" s="126">
        <f t="shared" si="178"/>
        <v>0</v>
      </c>
      <c r="L358" s="126">
        <f t="shared" si="178"/>
        <v>0</v>
      </c>
      <c r="M358" s="126">
        <f t="shared" si="178"/>
        <v>0</v>
      </c>
      <c r="N358" s="126">
        <f t="shared" si="178"/>
        <v>0</v>
      </c>
      <c r="O358" s="126">
        <f t="shared" si="178"/>
        <v>0</v>
      </c>
      <c r="P358" s="126">
        <f t="shared" si="178"/>
        <v>0</v>
      </c>
      <c r="Q358" s="504"/>
      <c r="R358" s="49"/>
    </row>
    <row r="359" spans="2:18" hidden="1">
      <c r="B359" s="94" t="s">
        <v>533</v>
      </c>
      <c r="C359" s="181" t="s">
        <v>807</v>
      </c>
      <c r="D359" s="192" t="s">
        <v>787</v>
      </c>
      <c r="E359" s="208" t="s">
        <v>738</v>
      </c>
      <c r="F359" s="28" t="s">
        <v>123</v>
      </c>
      <c r="G359" s="507" t="s">
        <v>621</v>
      </c>
      <c r="H359" s="507" t="s">
        <v>621</v>
      </c>
      <c r="I359" s="507" t="s">
        <v>621</v>
      </c>
      <c r="J359" s="507" t="s">
        <v>621</v>
      </c>
      <c r="K359" s="507" t="s">
        <v>621</v>
      </c>
      <c r="L359" s="507" t="s">
        <v>621</v>
      </c>
      <c r="M359" s="507" t="s">
        <v>621</v>
      </c>
      <c r="N359" s="507" t="s">
        <v>621</v>
      </c>
      <c r="O359" s="507" t="s">
        <v>621</v>
      </c>
      <c r="P359" s="507" t="s">
        <v>621</v>
      </c>
      <c r="Q359" s="504"/>
      <c r="R359" s="49"/>
    </row>
    <row r="360" spans="2:18" hidden="1">
      <c r="B360" s="94" t="s">
        <v>533</v>
      </c>
      <c r="C360" s="183"/>
      <c r="D360" s="194"/>
      <c r="E360" s="208" t="s">
        <v>227</v>
      </c>
      <c r="F360" s="28" t="s">
        <v>329</v>
      </c>
      <c r="G360" s="54">
        <f t="shared" ref="G360:P360" si="179">IF(G339=0,0,_xlfn.XLOOKUP(G359,Grader_trim_names_CS,Grader_trim_rates_CS))</f>
        <v>241.70290684367134</v>
      </c>
      <c r="H360" s="54">
        <f t="shared" si="179"/>
        <v>0</v>
      </c>
      <c r="I360" s="54">
        <f t="shared" si="179"/>
        <v>0</v>
      </c>
      <c r="J360" s="54">
        <f t="shared" si="179"/>
        <v>0</v>
      </c>
      <c r="K360" s="54">
        <f t="shared" si="179"/>
        <v>241.70290684367134</v>
      </c>
      <c r="L360" s="54">
        <f t="shared" si="179"/>
        <v>241.70290684367134</v>
      </c>
      <c r="M360" s="54">
        <f t="shared" si="179"/>
        <v>241.70290684367134</v>
      </c>
      <c r="N360" s="54">
        <f t="shared" si="179"/>
        <v>241.70290684367134</v>
      </c>
      <c r="O360" s="54">
        <f t="shared" si="179"/>
        <v>241.70290684367134</v>
      </c>
      <c r="P360" s="54">
        <f t="shared" si="179"/>
        <v>241.70290684367134</v>
      </c>
      <c r="Q360" s="504"/>
      <c r="R360" s="55"/>
    </row>
    <row r="361" spans="2:18" hidden="1">
      <c r="B361" s="94" t="s">
        <v>533</v>
      </c>
      <c r="C361" s="183"/>
      <c r="D361" s="194"/>
      <c r="E361" s="208" t="s">
        <v>229</v>
      </c>
      <c r="F361" s="28" t="s">
        <v>329</v>
      </c>
      <c r="G361" s="414"/>
      <c r="H361" s="414"/>
      <c r="I361" s="414"/>
      <c r="J361" s="414"/>
      <c r="K361" s="414"/>
      <c r="L361" s="414"/>
      <c r="M361" s="414"/>
      <c r="N361" s="414"/>
      <c r="O361" s="414"/>
      <c r="P361" s="415"/>
      <c r="Q361" s="504"/>
      <c r="R361" s="49"/>
    </row>
    <row r="362" spans="2:18" hidden="1">
      <c r="B362" s="94" t="s">
        <v>533</v>
      </c>
      <c r="C362" s="185"/>
      <c r="D362" s="194"/>
      <c r="E362" s="208" t="s">
        <v>146</v>
      </c>
      <c r="F362" s="28" t="s">
        <v>207</v>
      </c>
      <c r="G362" s="74">
        <f t="shared" ref="G362:P362" si="180">IF(G361="",G360,G361)*G338</f>
        <v>0</v>
      </c>
      <c r="H362" s="74">
        <f t="shared" si="180"/>
        <v>0</v>
      </c>
      <c r="I362" s="74">
        <f t="shared" si="180"/>
        <v>0</v>
      </c>
      <c r="J362" s="74">
        <f t="shared" si="180"/>
        <v>0</v>
      </c>
      <c r="K362" s="74">
        <f t="shared" si="180"/>
        <v>0</v>
      </c>
      <c r="L362" s="74">
        <f t="shared" si="180"/>
        <v>0</v>
      </c>
      <c r="M362" s="74">
        <f t="shared" si="180"/>
        <v>0</v>
      </c>
      <c r="N362" s="74">
        <f t="shared" si="180"/>
        <v>0</v>
      </c>
      <c r="O362" s="74">
        <f t="shared" si="180"/>
        <v>0</v>
      </c>
      <c r="P362" s="74">
        <f t="shared" si="180"/>
        <v>0</v>
      </c>
      <c r="Q362" s="504"/>
      <c r="R362" s="49"/>
    </row>
    <row r="363" spans="2:18" hidden="1">
      <c r="B363" s="94" t="s">
        <v>533</v>
      </c>
      <c r="C363" s="181" t="s">
        <v>808</v>
      </c>
      <c r="D363" s="194"/>
      <c r="E363" s="208" t="s">
        <v>227</v>
      </c>
      <c r="F363" s="28" t="s">
        <v>329</v>
      </c>
      <c r="G363" s="54">
        <f>IF(G339=0,0,'Cost Schedule'!$D$411)</f>
        <v>2845.9459459459458</v>
      </c>
      <c r="H363" s="54">
        <f>IF(H339=0,0,'Cost Schedule'!$D$411)</f>
        <v>0</v>
      </c>
      <c r="I363" s="54">
        <f>IF(I339=0,0,'Cost Schedule'!$D$411)</f>
        <v>0</v>
      </c>
      <c r="J363" s="54">
        <f>IF(J339=0,0,'Cost Schedule'!$D$411)</f>
        <v>0</v>
      </c>
      <c r="K363" s="54">
        <f>IF(K339=0,0,'Cost Schedule'!$D$411)</f>
        <v>2845.9459459459458</v>
      </c>
      <c r="L363" s="54">
        <f>IF(L339=0,0,'Cost Schedule'!$D$411)</f>
        <v>2845.9459459459458</v>
      </c>
      <c r="M363" s="54">
        <f>IF(M339=0,0,'Cost Schedule'!$D$411)</f>
        <v>2845.9459459459458</v>
      </c>
      <c r="N363" s="54">
        <f>IF(N339=0,0,'Cost Schedule'!$D$411)</f>
        <v>2845.9459459459458</v>
      </c>
      <c r="O363" s="54">
        <f>IF(O339=0,0,'Cost Schedule'!$D$411)</f>
        <v>2845.9459459459458</v>
      </c>
      <c r="P363" s="54">
        <f>IF(P339=0,0,'Cost Schedule'!$D$411)</f>
        <v>2845.9459459459458</v>
      </c>
      <c r="Q363" s="504"/>
      <c r="R363" s="55"/>
    </row>
    <row r="364" spans="2:18" hidden="1">
      <c r="B364" s="94" t="s">
        <v>533</v>
      </c>
      <c r="C364" s="183"/>
      <c r="D364" s="194"/>
      <c r="E364" s="208" t="s">
        <v>229</v>
      </c>
      <c r="F364" s="28" t="s">
        <v>329</v>
      </c>
      <c r="G364" s="414"/>
      <c r="H364" s="414"/>
      <c r="I364" s="414"/>
      <c r="J364" s="414"/>
      <c r="K364" s="414"/>
      <c r="L364" s="414"/>
      <c r="M364" s="414"/>
      <c r="N364" s="414"/>
      <c r="O364" s="414"/>
      <c r="P364" s="414"/>
      <c r="Q364" s="504"/>
      <c r="R364" s="49"/>
    </row>
    <row r="365" spans="2:18" hidden="1">
      <c r="B365" s="94" t="s">
        <v>533</v>
      </c>
      <c r="C365" s="185"/>
      <c r="D365" s="194"/>
      <c r="E365" s="208" t="s">
        <v>146</v>
      </c>
      <c r="F365" s="28" t="s">
        <v>207</v>
      </c>
      <c r="G365" s="74">
        <f t="shared" ref="G365:P365" si="181">IF(G364="",G363,G364)*G338</f>
        <v>0</v>
      </c>
      <c r="H365" s="74">
        <f t="shared" si="181"/>
        <v>0</v>
      </c>
      <c r="I365" s="74">
        <f t="shared" si="181"/>
        <v>0</v>
      </c>
      <c r="J365" s="74">
        <f t="shared" si="181"/>
        <v>0</v>
      </c>
      <c r="K365" s="74">
        <f t="shared" si="181"/>
        <v>0</v>
      </c>
      <c r="L365" s="74">
        <f t="shared" si="181"/>
        <v>0</v>
      </c>
      <c r="M365" s="74">
        <f t="shared" si="181"/>
        <v>0</v>
      </c>
      <c r="N365" s="74">
        <f t="shared" si="181"/>
        <v>0</v>
      </c>
      <c r="O365" s="74">
        <f t="shared" si="181"/>
        <v>0</v>
      </c>
      <c r="P365" s="74">
        <f t="shared" si="181"/>
        <v>0</v>
      </c>
      <c r="Q365" s="504"/>
      <c r="R365" s="49"/>
    </row>
    <row r="366" spans="2:18" hidden="1">
      <c r="B366" s="94" t="s">
        <v>533</v>
      </c>
      <c r="C366" s="181" t="s">
        <v>809</v>
      </c>
      <c r="D366" s="194"/>
      <c r="E366" s="208" t="s">
        <v>227</v>
      </c>
      <c r="F366" s="28" t="s">
        <v>241</v>
      </c>
      <c r="G366" s="54">
        <f>'Cost Schedule'!$D$482</f>
        <v>0.39122153095927725</v>
      </c>
      <c r="H366" s="54">
        <f>'Cost Schedule'!$D$482</f>
        <v>0.39122153095927725</v>
      </c>
      <c r="I366" s="54">
        <f>'Cost Schedule'!$D$482</f>
        <v>0.39122153095927725</v>
      </c>
      <c r="J366" s="54">
        <f>'Cost Schedule'!$D$482</f>
        <v>0.39122153095927725</v>
      </c>
      <c r="K366" s="54">
        <f>'Cost Schedule'!$D$482</f>
        <v>0.39122153095927725</v>
      </c>
      <c r="L366" s="54">
        <f>'Cost Schedule'!$D$482</f>
        <v>0.39122153095927725</v>
      </c>
      <c r="M366" s="54">
        <f>'Cost Schedule'!$D$482</f>
        <v>0.39122153095927725</v>
      </c>
      <c r="N366" s="54">
        <f>'Cost Schedule'!$D$482</f>
        <v>0.39122153095927725</v>
      </c>
      <c r="O366" s="54">
        <f>'Cost Schedule'!$D$482</f>
        <v>0.39122153095927725</v>
      </c>
      <c r="P366" s="54">
        <f>'Cost Schedule'!$D$482</f>
        <v>0.39122153095927725</v>
      </c>
      <c r="Q366" s="504"/>
      <c r="R366" s="55"/>
    </row>
    <row r="367" spans="2:18" hidden="1">
      <c r="B367" s="94" t="s">
        <v>533</v>
      </c>
      <c r="C367" s="183"/>
      <c r="D367" s="194"/>
      <c r="E367" s="208" t="s">
        <v>229</v>
      </c>
      <c r="F367" s="28" t="s">
        <v>241</v>
      </c>
      <c r="G367" s="414"/>
      <c r="H367" s="414"/>
      <c r="I367" s="414"/>
      <c r="J367" s="414"/>
      <c r="K367" s="414"/>
      <c r="L367" s="414"/>
      <c r="M367" s="414"/>
      <c r="N367" s="414"/>
      <c r="O367" s="414"/>
      <c r="P367" s="415"/>
      <c r="Q367" s="504"/>
      <c r="R367" s="49"/>
    </row>
    <row r="368" spans="2:18" hidden="1">
      <c r="B368" s="94" t="s">
        <v>533</v>
      </c>
      <c r="C368" s="185"/>
      <c r="D368" s="194"/>
      <c r="E368" s="208" t="s">
        <v>146</v>
      </c>
      <c r="F368" s="28" t="s">
        <v>207</v>
      </c>
      <c r="G368" s="74">
        <f t="shared" ref="G368:P368" si="182">IF(G367="",G366,G367)*G342*4</f>
        <v>0</v>
      </c>
      <c r="H368" s="74">
        <f t="shared" si="182"/>
        <v>0</v>
      </c>
      <c r="I368" s="74">
        <f t="shared" si="182"/>
        <v>0</v>
      </c>
      <c r="J368" s="74">
        <f t="shared" si="182"/>
        <v>0</v>
      </c>
      <c r="K368" s="74">
        <f t="shared" si="182"/>
        <v>0</v>
      </c>
      <c r="L368" s="74">
        <f t="shared" si="182"/>
        <v>0</v>
      </c>
      <c r="M368" s="74">
        <f t="shared" si="182"/>
        <v>0</v>
      </c>
      <c r="N368" s="74">
        <f t="shared" si="182"/>
        <v>0</v>
      </c>
      <c r="O368" s="74">
        <f t="shared" si="182"/>
        <v>0</v>
      </c>
      <c r="P368" s="74">
        <f t="shared" si="182"/>
        <v>0</v>
      </c>
      <c r="Q368" s="504"/>
      <c r="R368" s="49"/>
    </row>
    <row r="369" spans="2:18" hidden="1">
      <c r="B369" s="94" t="s">
        <v>533</v>
      </c>
      <c r="C369" s="181" t="s">
        <v>810</v>
      </c>
      <c r="D369" s="194"/>
      <c r="E369" s="208" t="s">
        <v>811</v>
      </c>
      <c r="F369" s="28" t="s">
        <v>329</v>
      </c>
      <c r="G369" s="54">
        <f>IF(G339=0,0,'Cost Schedule'!$D$46)</f>
        <v>8616.7643654301646</v>
      </c>
      <c r="H369" s="54">
        <f>IF(H339=0,0,'Cost Schedule'!$D$46)</f>
        <v>0</v>
      </c>
      <c r="I369" s="54">
        <f>IF(I339=0,0,'Cost Schedule'!$D$46)</f>
        <v>0</v>
      </c>
      <c r="J369" s="54">
        <f>IF(J339=0,0,'Cost Schedule'!$D$46)</f>
        <v>0</v>
      </c>
      <c r="K369" s="54">
        <f>IF(K339=0,0,'Cost Schedule'!$D$46)</f>
        <v>8616.7643654301646</v>
      </c>
      <c r="L369" s="54">
        <f>IF(L339=0,0,'Cost Schedule'!$D$46)</f>
        <v>8616.7643654301646</v>
      </c>
      <c r="M369" s="54">
        <f>IF(M339=0,0,'Cost Schedule'!$D$46)</f>
        <v>8616.7643654301646</v>
      </c>
      <c r="N369" s="54">
        <f>IF(N339=0,0,'Cost Schedule'!$D$46)</f>
        <v>8616.7643654301646</v>
      </c>
      <c r="O369" s="54">
        <f>IF(O339=0,0,'Cost Schedule'!$D$46)</f>
        <v>8616.7643654301646</v>
      </c>
      <c r="P369" s="54">
        <f>IF(P339=0,0,'Cost Schedule'!$D$46)</f>
        <v>8616.7643654301646</v>
      </c>
      <c r="Q369" s="504"/>
      <c r="R369" s="55"/>
    </row>
    <row r="370" spans="2:18" hidden="1">
      <c r="B370" s="94" t="s">
        <v>533</v>
      </c>
      <c r="C370" s="183"/>
      <c r="D370" s="194"/>
      <c r="E370" s="208" t="s">
        <v>812</v>
      </c>
      <c r="F370" s="28" t="s">
        <v>329</v>
      </c>
      <c r="G370" s="414"/>
      <c r="H370" s="414"/>
      <c r="I370" s="414"/>
      <c r="J370" s="414"/>
      <c r="K370" s="414"/>
      <c r="L370" s="414"/>
      <c r="M370" s="414"/>
      <c r="N370" s="414"/>
      <c r="O370" s="414"/>
      <c r="P370" s="414"/>
      <c r="Q370" s="504"/>
      <c r="R370" s="49"/>
    </row>
    <row r="371" spans="2:18" hidden="1">
      <c r="B371" s="94" t="s">
        <v>533</v>
      </c>
      <c r="C371" s="185"/>
      <c r="D371" s="196"/>
      <c r="E371" s="176" t="s">
        <v>146</v>
      </c>
      <c r="F371" s="28" t="s">
        <v>207</v>
      </c>
      <c r="G371" s="126">
        <f t="shared" ref="G371:P371" si="183">IF(G370="",G369,G370)*G338</f>
        <v>0</v>
      </c>
      <c r="H371" s="126">
        <f t="shared" si="183"/>
        <v>0</v>
      </c>
      <c r="I371" s="126">
        <f t="shared" si="183"/>
        <v>0</v>
      </c>
      <c r="J371" s="126">
        <f t="shared" si="183"/>
        <v>0</v>
      </c>
      <c r="K371" s="126">
        <f t="shared" si="183"/>
        <v>0</v>
      </c>
      <c r="L371" s="126">
        <f t="shared" si="183"/>
        <v>0</v>
      </c>
      <c r="M371" s="126">
        <f t="shared" si="183"/>
        <v>0</v>
      </c>
      <c r="N371" s="126">
        <f t="shared" si="183"/>
        <v>0</v>
      </c>
      <c r="O371" s="126">
        <f t="shared" si="183"/>
        <v>0</v>
      </c>
      <c r="P371" s="126">
        <f t="shared" si="183"/>
        <v>0</v>
      </c>
      <c r="Q371" s="504"/>
      <c r="R371" s="49"/>
    </row>
    <row r="372" spans="2:18" hidden="1">
      <c r="B372" s="94" t="s">
        <v>533</v>
      </c>
      <c r="C372" s="200"/>
      <c r="D372" s="188"/>
      <c r="E372" s="205" t="str">
        <f>C336</f>
        <v>Construct low permeability layers</v>
      </c>
      <c r="F372" s="72"/>
      <c r="G372" s="80">
        <f t="shared" ref="G372:O372" si="184">G347+G351+G354+G358+G362+G365+G368+G371</f>
        <v>0</v>
      </c>
      <c r="H372" s="80">
        <f t="shared" si="184"/>
        <v>0</v>
      </c>
      <c r="I372" s="80">
        <f t="shared" si="184"/>
        <v>0</v>
      </c>
      <c r="J372" s="80">
        <f t="shared" si="184"/>
        <v>0</v>
      </c>
      <c r="K372" s="80">
        <f t="shared" si="184"/>
        <v>0</v>
      </c>
      <c r="L372" s="80">
        <f t="shared" si="184"/>
        <v>0</v>
      </c>
      <c r="M372" s="80">
        <f t="shared" si="184"/>
        <v>0</v>
      </c>
      <c r="N372" s="80">
        <f t="shared" si="184"/>
        <v>0</v>
      </c>
      <c r="O372" s="80">
        <f t="shared" si="184"/>
        <v>0</v>
      </c>
      <c r="P372" s="80">
        <f>P347+P351+P362+P365+P368+P371+P354</f>
        <v>0</v>
      </c>
      <c r="Q372" s="504"/>
      <c r="R372" s="49"/>
    </row>
    <row r="373" spans="2:18" hidden="1">
      <c r="B373" s="94" t="s">
        <v>533</v>
      </c>
      <c r="C373" s="159" t="s">
        <v>813</v>
      </c>
      <c r="D373" s="59" t="s">
        <v>814</v>
      </c>
      <c r="E373" s="176" t="s">
        <v>623</v>
      </c>
      <c r="F373" s="28" t="s">
        <v>299</v>
      </c>
      <c r="G373" s="70">
        <f t="shared" ref="G373:P373" si="185">G$276</f>
        <v>0</v>
      </c>
      <c r="H373" s="70">
        <f t="shared" si="185"/>
        <v>0</v>
      </c>
      <c r="I373" s="70">
        <f t="shared" si="185"/>
        <v>0</v>
      </c>
      <c r="J373" s="70">
        <f t="shared" si="185"/>
        <v>0</v>
      </c>
      <c r="K373" s="70">
        <f t="shared" si="185"/>
        <v>0</v>
      </c>
      <c r="L373" s="70">
        <f t="shared" si="185"/>
        <v>0</v>
      </c>
      <c r="M373" s="70">
        <f t="shared" si="185"/>
        <v>0</v>
      </c>
      <c r="N373" s="70">
        <f t="shared" si="185"/>
        <v>0</v>
      </c>
      <c r="O373" s="70">
        <f t="shared" si="185"/>
        <v>0</v>
      </c>
      <c r="P373" s="70">
        <f t="shared" si="185"/>
        <v>0</v>
      </c>
      <c r="Q373" s="504"/>
      <c r="R373" s="150" t="s">
        <v>815</v>
      </c>
    </row>
    <row r="374" spans="2:18" hidden="1">
      <c r="B374" s="94" t="s">
        <v>533</v>
      </c>
      <c r="C374" s="52"/>
      <c r="D374" s="60"/>
      <c r="E374" s="176" t="s">
        <v>624</v>
      </c>
      <c r="F374" s="28" t="s">
        <v>299</v>
      </c>
      <c r="G374" s="411"/>
      <c r="H374" s="411"/>
      <c r="I374" s="411"/>
      <c r="J374" s="411"/>
      <c r="K374" s="411"/>
      <c r="L374" s="411"/>
      <c r="M374" s="411"/>
      <c r="N374" s="411"/>
      <c r="O374" s="411"/>
      <c r="P374" s="411"/>
      <c r="Q374" s="504"/>
      <c r="R374" s="49"/>
    </row>
    <row r="375" spans="2:18" hidden="1">
      <c r="B375" s="94" t="s">
        <v>533</v>
      </c>
      <c r="C375" s="52"/>
      <c r="D375" s="60"/>
      <c r="E375" s="176" t="s">
        <v>625</v>
      </c>
      <c r="F375" s="28" t="s">
        <v>299</v>
      </c>
      <c r="G375" s="70">
        <f t="shared" ref="G375:P375" si="186">IF(G374="",G373,G374)</f>
        <v>0</v>
      </c>
      <c r="H375" s="70">
        <f t="shared" si="186"/>
        <v>0</v>
      </c>
      <c r="I375" s="70">
        <f t="shared" si="186"/>
        <v>0</v>
      </c>
      <c r="J375" s="70">
        <f t="shared" si="186"/>
        <v>0</v>
      </c>
      <c r="K375" s="70">
        <f t="shared" si="186"/>
        <v>0</v>
      </c>
      <c r="L375" s="70">
        <f t="shared" si="186"/>
        <v>0</v>
      </c>
      <c r="M375" s="70">
        <f t="shared" si="186"/>
        <v>0</v>
      </c>
      <c r="N375" s="70">
        <f t="shared" si="186"/>
        <v>0</v>
      </c>
      <c r="O375" s="70">
        <f t="shared" si="186"/>
        <v>0</v>
      </c>
      <c r="P375" s="70">
        <f t="shared" si="186"/>
        <v>0</v>
      </c>
      <c r="Q375" s="504"/>
      <c r="R375" s="55"/>
    </row>
    <row r="376" spans="2:18" hidden="1">
      <c r="B376" s="94" t="s">
        <v>533</v>
      </c>
      <c r="C376" s="52"/>
      <c r="D376" s="60"/>
      <c r="E376" s="176" t="s">
        <v>759</v>
      </c>
      <c r="F376" s="28" t="s">
        <v>211</v>
      </c>
      <c r="G376" s="70">
        <f>_xlfn.XLOOKUP(G$274,'Assumptions - Capping'!$E$4:$H$4,'Assumptions - Capping'!$E$28:$H$28)</f>
        <v>1.5</v>
      </c>
      <c r="H376" s="70">
        <f>_xlfn.XLOOKUP(H$274,'Assumptions - Capping'!$E$4:$H$4,'Assumptions - Capping'!$E$28:$H$28)</f>
        <v>1</v>
      </c>
      <c r="I376" s="70">
        <f>_xlfn.XLOOKUP(I$274,'Assumptions - Capping'!$E$4:$H$4,'Assumptions - Capping'!$E$28:$H$28)</f>
        <v>1</v>
      </c>
      <c r="J376" s="70">
        <f>_xlfn.XLOOKUP(J$274,'Assumptions - Capping'!$E$4:$H$4,'Assumptions - Capping'!$E$28:$H$28)</f>
        <v>0</v>
      </c>
      <c r="K376" s="70">
        <f>_xlfn.XLOOKUP(K$274,'Assumptions - Capping'!$E$4:$H$4,'Assumptions - Capping'!$E$28:$H$28)</f>
        <v>1.5</v>
      </c>
      <c r="L376" s="70">
        <f>_xlfn.XLOOKUP(L$274,'Assumptions - Capping'!$E$4:$H$4,'Assumptions - Capping'!$E$28:$H$28)</f>
        <v>1.5</v>
      </c>
      <c r="M376" s="70">
        <f>_xlfn.XLOOKUP(M$274,'Assumptions - Capping'!$E$4:$H$4,'Assumptions - Capping'!$E$28:$H$28)</f>
        <v>1.5</v>
      </c>
      <c r="N376" s="70">
        <f>_xlfn.XLOOKUP(N$274,'Assumptions - Capping'!$E$4:$H$4,'Assumptions - Capping'!$E$28:$H$28)</f>
        <v>1.5</v>
      </c>
      <c r="O376" s="70">
        <f>_xlfn.XLOOKUP(O$274,'Assumptions - Capping'!$E$4:$H$4,'Assumptions - Capping'!$E$28:$H$28)</f>
        <v>1.5</v>
      </c>
      <c r="P376" s="70">
        <f>_xlfn.XLOOKUP(P$274,'Assumptions - Capping'!$E$4:$H$4,'Assumptions - Capping'!$E$28:$H$28)</f>
        <v>1.5</v>
      </c>
      <c r="Q376" s="504"/>
      <c r="R376" s="49"/>
    </row>
    <row r="377" spans="2:18" hidden="1">
      <c r="B377" s="94" t="s">
        <v>533</v>
      </c>
      <c r="C377" s="52"/>
      <c r="D377" s="60"/>
      <c r="E377" s="176" t="s">
        <v>760</v>
      </c>
      <c r="F377" s="28" t="s">
        <v>211</v>
      </c>
      <c r="G377" s="411"/>
      <c r="H377" s="411"/>
      <c r="I377" s="411"/>
      <c r="J377" s="411"/>
      <c r="K377" s="411"/>
      <c r="L377" s="411"/>
      <c r="M377" s="411"/>
      <c r="N377" s="411"/>
      <c r="O377" s="411"/>
      <c r="P377" s="411"/>
      <c r="Q377" s="504"/>
      <c r="R377" s="49"/>
    </row>
    <row r="378" spans="2:18" hidden="1">
      <c r="B378" s="94" t="s">
        <v>533</v>
      </c>
      <c r="C378" s="52"/>
      <c r="D378" s="60"/>
      <c r="E378" s="176" t="s">
        <v>761</v>
      </c>
      <c r="F378" s="28" t="s">
        <v>211</v>
      </c>
      <c r="G378" s="70">
        <f>IF(G377="",G376,G377)</f>
        <v>1.5</v>
      </c>
      <c r="H378" s="70">
        <f t="shared" ref="H378:P378" si="187">IF(H377="",H376,H377)</f>
        <v>1</v>
      </c>
      <c r="I378" s="70">
        <f t="shared" si="187"/>
        <v>1</v>
      </c>
      <c r="J378" s="70">
        <f t="shared" si="187"/>
        <v>0</v>
      </c>
      <c r="K378" s="70">
        <f t="shared" si="187"/>
        <v>1.5</v>
      </c>
      <c r="L378" s="70">
        <f t="shared" si="187"/>
        <v>1.5</v>
      </c>
      <c r="M378" s="70">
        <f t="shared" si="187"/>
        <v>1.5</v>
      </c>
      <c r="N378" s="70">
        <f t="shared" si="187"/>
        <v>1.5</v>
      </c>
      <c r="O378" s="70">
        <f t="shared" si="187"/>
        <v>1.5</v>
      </c>
      <c r="P378" s="70">
        <f t="shared" si="187"/>
        <v>1.5</v>
      </c>
      <c r="Q378" s="504"/>
      <c r="R378" s="49"/>
    </row>
    <row r="379" spans="2:18" hidden="1">
      <c r="B379" s="94" t="s">
        <v>533</v>
      </c>
      <c r="C379" s="52"/>
      <c r="D379" s="60"/>
      <c r="E379" s="176" t="s">
        <v>307</v>
      </c>
      <c r="F379" s="28" t="s">
        <v>219</v>
      </c>
      <c r="G379" s="58">
        <f t="shared" ref="G379:P379" si="188">G375*Conv_sqm_ha*G378</f>
        <v>0</v>
      </c>
      <c r="H379" s="58">
        <f t="shared" si="188"/>
        <v>0</v>
      </c>
      <c r="I379" s="58">
        <f t="shared" si="188"/>
        <v>0</v>
      </c>
      <c r="J379" s="58">
        <f t="shared" si="188"/>
        <v>0</v>
      </c>
      <c r="K379" s="58">
        <f t="shared" si="188"/>
        <v>0</v>
      </c>
      <c r="L379" s="58">
        <f t="shared" si="188"/>
        <v>0</v>
      </c>
      <c r="M379" s="58">
        <f t="shared" si="188"/>
        <v>0</v>
      </c>
      <c r="N379" s="58">
        <f t="shared" si="188"/>
        <v>0</v>
      </c>
      <c r="O379" s="58">
        <f t="shared" si="188"/>
        <v>0</v>
      </c>
      <c r="P379" s="58">
        <f t="shared" si="188"/>
        <v>0</v>
      </c>
      <c r="Q379" s="504"/>
      <c r="R379" s="55"/>
    </row>
    <row r="380" spans="2:18" ht="33.75" hidden="1">
      <c r="B380" s="94" t="s">
        <v>533</v>
      </c>
      <c r="C380" s="181" t="s">
        <v>816</v>
      </c>
      <c r="D380" s="60"/>
      <c r="E380" s="208" t="s">
        <v>762</v>
      </c>
      <c r="F380" s="28" t="s">
        <v>123</v>
      </c>
      <c r="G380" s="507" t="s">
        <v>817</v>
      </c>
      <c r="H380" s="507" t="s">
        <v>817</v>
      </c>
      <c r="I380" s="507" t="s">
        <v>817</v>
      </c>
      <c r="J380" s="507" t="s">
        <v>817</v>
      </c>
      <c r="K380" s="507" t="s">
        <v>817</v>
      </c>
      <c r="L380" s="507" t="s">
        <v>817</v>
      </c>
      <c r="M380" s="507" t="s">
        <v>817</v>
      </c>
      <c r="N380" s="507" t="s">
        <v>817</v>
      </c>
      <c r="O380" s="507" t="s">
        <v>817</v>
      </c>
      <c r="P380" s="507" t="s">
        <v>817</v>
      </c>
      <c r="Q380" s="504"/>
      <c r="R380" s="49"/>
    </row>
    <row r="381" spans="2:18" hidden="1">
      <c r="B381" s="94" t="s">
        <v>533</v>
      </c>
      <c r="C381" s="52"/>
      <c r="D381" s="60"/>
      <c r="E381" s="176" t="s">
        <v>227</v>
      </c>
      <c r="F381" s="28" t="s">
        <v>241</v>
      </c>
      <c r="G381" s="54">
        <f t="shared" ref="G381:P381" si="189">IF(G376=0,0,_xlfn.XLOOKUP(G380,Load_haul_stabilised_names_CS,Load_haul_stabilised_rates_CS))</f>
        <v>5.5737090155748836</v>
      </c>
      <c r="H381" s="54">
        <f t="shared" si="189"/>
        <v>5.5737090155748836</v>
      </c>
      <c r="I381" s="54">
        <f t="shared" si="189"/>
        <v>5.5737090155748836</v>
      </c>
      <c r="J381" s="54">
        <f t="shared" si="189"/>
        <v>0</v>
      </c>
      <c r="K381" s="54">
        <f t="shared" si="189"/>
        <v>5.5737090155748836</v>
      </c>
      <c r="L381" s="54">
        <f t="shared" si="189"/>
        <v>5.5737090155748836</v>
      </c>
      <c r="M381" s="54">
        <f t="shared" si="189"/>
        <v>5.5737090155748836</v>
      </c>
      <c r="N381" s="54">
        <f t="shared" si="189"/>
        <v>5.5737090155748836</v>
      </c>
      <c r="O381" s="54">
        <f t="shared" si="189"/>
        <v>5.5737090155748836</v>
      </c>
      <c r="P381" s="54">
        <f t="shared" si="189"/>
        <v>5.5737090155748836</v>
      </c>
      <c r="Q381" s="504"/>
      <c r="R381" s="55"/>
    </row>
    <row r="382" spans="2:18" hidden="1">
      <c r="B382" s="94" t="s">
        <v>533</v>
      </c>
      <c r="C382" s="52"/>
      <c r="D382" s="60"/>
      <c r="E382" s="180" t="s">
        <v>229</v>
      </c>
      <c r="F382" s="28" t="s">
        <v>241</v>
      </c>
      <c r="G382" s="414"/>
      <c r="H382" s="414"/>
      <c r="I382" s="414"/>
      <c r="J382" s="414"/>
      <c r="K382" s="414"/>
      <c r="L382" s="414"/>
      <c r="M382" s="414"/>
      <c r="N382" s="414"/>
      <c r="O382" s="414"/>
      <c r="P382" s="414"/>
      <c r="Q382" s="504"/>
      <c r="R382" s="49"/>
    </row>
    <row r="383" spans="2:18" hidden="1">
      <c r="B383" s="94" t="s">
        <v>533</v>
      </c>
      <c r="C383" s="56"/>
      <c r="D383" s="60"/>
      <c r="E383" s="176" t="s">
        <v>146</v>
      </c>
      <c r="F383" s="28" t="s">
        <v>207</v>
      </c>
      <c r="G383" s="71">
        <f t="shared" ref="G383:P383" si="190">IF(G382="",G381,G382)*G379</f>
        <v>0</v>
      </c>
      <c r="H383" s="71">
        <f t="shared" si="190"/>
        <v>0</v>
      </c>
      <c r="I383" s="71">
        <f t="shared" si="190"/>
        <v>0</v>
      </c>
      <c r="J383" s="71">
        <f t="shared" si="190"/>
        <v>0</v>
      </c>
      <c r="K383" s="71">
        <f t="shared" si="190"/>
        <v>0</v>
      </c>
      <c r="L383" s="71">
        <f t="shared" si="190"/>
        <v>0</v>
      </c>
      <c r="M383" s="71">
        <f t="shared" si="190"/>
        <v>0</v>
      </c>
      <c r="N383" s="71">
        <f t="shared" si="190"/>
        <v>0</v>
      </c>
      <c r="O383" s="71">
        <f t="shared" si="190"/>
        <v>0</v>
      </c>
      <c r="P383" s="71">
        <f t="shared" si="190"/>
        <v>0</v>
      </c>
      <c r="Q383" s="504"/>
      <c r="R383" s="49"/>
    </row>
    <row r="384" spans="2:18" ht="22.5" hidden="1">
      <c r="B384" s="94" t="s">
        <v>533</v>
      </c>
      <c r="C384" s="181" t="s">
        <v>818</v>
      </c>
      <c r="D384" s="60"/>
      <c r="E384" s="208" t="s">
        <v>819</v>
      </c>
      <c r="F384" s="28" t="s">
        <v>123</v>
      </c>
      <c r="G384" s="507" t="s">
        <v>820</v>
      </c>
      <c r="H384" s="507" t="s">
        <v>820</v>
      </c>
      <c r="I384" s="507" t="s">
        <v>820</v>
      </c>
      <c r="J384" s="507" t="s">
        <v>820</v>
      </c>
      <c r="K384" s="507" t="s">
        <v>820</v>
      </c>
      <c r="L384" s="507" t="s">
        <v>820</v>
      </c>
      <c r="M384" s="507" t="s">
        <v>820</v>
      </c>
      <c r="N384" s="507" t="s">
        <v>820</v>
      </c>
      <c r="O384" s="507" t="s">
        <v>820</v>
      </c>
      <c r="P384" s="507" t="s">
        <v>820</v>
      </c>
      <c r="Q384" s="504"/>
      <c r="R384" s="49"/>
    </row>
    <row r="385" spans="2:18" hidden="1">
      <c r="B385" s="94" t="s">
        <v>533</v>
      </c>
      <c r="C385" s="52"/>
      <c r="D385" s="60"/>
      <c r="E385" s="176" t="s">
        <v>227</v>
      </c>
      <c r="F385" s="28" t="s">
        <v>329</v>
      </c>
      <c r="G385" s="54">
        <f t="shared" ref="G385:P385" si="191">IF(G376=0,0,_xlfn.XLOOKUP(G384,Dozer_shape_doze_for_drainage_names_CS,Dozer_shape_doze_for_drainage_rates_CS))</f>
        <v>2845.9459459459458</v>
      </c>
      <c r="H385" s="54">
        <f t="shared" si="191"/>
        <v>2845.9459459459458</v>
      </c>
      <c r="I385" s="54">
        <f t="shared" si="191"/>
        <v>2845.9459459459458</v>
      </c>
      <c r="J385" s="54">
        <f t="shared" si="191"/>
        <v>0</v>
      </c>
      <c r="K385" s="54">
        <f t="shared" si="191"/>
        <v>2845.9459459459458</v>
      </c>
      <c r="L385" s="54">
        <f t="shared" si="191"/>
        <v>2845.9459459459458</v>
      </c>
      <c r="M385" s="54">
        <f t="shared" si="191"/>
        <v>2845.9459459459458</v>
      </c>
      <c r="N385" s="54">
        <f t="shared" si="191"/>
        <v>2845.9459459459458</v>
      </c>
      <c r="O385" s="54">
        <f t="shared" si="191"/>
        <v>2845.9459459459458</v>
      </c>
      <c r="P385" s="54">
        <f t="shared" si="191"/>
        <v>2845.9459459459458</v>
      </c>
      <c r="Q385" s="504"/>
      <c r="R385" s="55"/>
    </row>
    <row r="386" spans="2:18" hidden="1">
      <c r="B386" s="94" t="s">
        <v>533</v>
      </c>
      <c r="C386" s="52"/>
      <c r="D386" s="60"/>
      <c r="E386" s="180" t="s">
        <v>229</v>
      </c>
      <c r="F386" s="28" t="s">
        <v>329</v>
      </c>
      <c r="G386" s="414"/>
      <c r="H386" s="414"/>
      <c r="I386" s="414"/>
      <c r="J386" s="414"/>
      <c r="K386" s="414"/>
      <c r="L386" s="414"/>
      <c r="M386" s="414"/>
      <c r="N386" s="414"/>
      <c r="O386" s="414"/>
      <c r="P386" s="414"/>
      <c r="Q386" s="504"/>
      <c r="R386" s="49"/>
    </row>
    <row r="387" spans="2:18" hidden="1">
      <c r="B387" s="94" t="s">
        <v>533</v>
      </c>
      <c r="C387" s="56"/>
      <c r="D387" s="45"/>
      <c r="E387" s="176" t="s">
        <v>146</v>
      </c>
      <c r="F387" s="28" t="s">
        <v>207</v>
      </c>
      <c r="G387" s="147">
        <f t="shared" ref="G387:P387" si="192">IF(G386="",G385,G386)*G375</f>
        <v>0</v>
      </c>
      <c r="H387" s="147">
        <f t="shared" si="192"/>
        <v>0</v>
      </c>
      <c r="I387" s="147">
        <f t="shared" si="192"/>
        <v>0</v>
      </c>
      <c r="J387" s="147">
        <f t="shared" si="192"/>
        <v>0</v>
      </c>
      <c r="K387" s="147">
        <f t="shared" si="192"/>
        <v>0</v>
      </c>
      <c r="L387" s="147">
        <f t="shared" si="192"/>
        <v>0</v>
      </c>
      <c r="M387" s="147">
        <f t="shared" si="192"/>
        <v>0</v>
      </c>
      <c r="N387" s="147">
        <f t="shared" si="192"/>
        <v>0</v>
      </c>
      <c r="O387" s="147">
        <f t="shared" si="192"/>
        <v>0</v>
      </c>
      <c r="P387" s="147">
        <f t="shared" si="192"/>
        <v>0</v>
      </c>
      <c r="Q387" s="504"/>
      <c r="R387" s="49"/>
    </row>
    <row r="388" spans="2:18" hidden="1">
      <c r="B388" s="94" t="s">
        <v>533</v>
      </c>
      <c r="C388" s="200"/>
      <c r="D388" s="188"/>
      <c r="E388" s="205" t="str">
        <f>C373</f>
        <v>Place top rock cover</v>
      </c>
      <c r="F388" s="72"/>
      <c r="G388" s="80">
        <f t="shared" ref="G388:P388" si="193">G383+G387</f>
        <v>0</v>
      </c>
      <c r="H388" s="80">
        <f t="shared" si="193"/>
        <v>0</v>
      </c>
      <c r="I388" s="80">
        <f t="shared" si="193"/>
        <v>0</v>
      </c>
      <c r="J388" s="80">
        <f t="shared" si="193"/>
        <v>0</v>
      </c>
      <c r="K388" s="80">
        <f t="shared" si="193"/>
        <v>0</v>
      </c>
      <c r="L388" s="80">
        <f t="shared" si="193"/>
        <v>0</v>
      </c>
      <c r="M388" s="80">
        <f t="shared" si="193"/>
        <v>0</v>
      </c>
      <c r="N388" s="80">
        <f t="shared" si="193"/>
        <v>0</v>
      </c>
      <c r="O388" s="80">
        <f t="shared" si="193"/>
        <v>0</v>
      </c>
      <c r="P388" s="80">
        <f t="shared" si="193"/>
        <v>0</v>
      </c>
      <c r="Q388" s="504"/>
      <c r="R388" s="49"/>
    </row>
    <row r="389" spans="2:18" hidden="1">
      <c r="B389" s="94" t="s">
        <v>533</v>
      </c>
      <c r="C389" s="187" t="s">
        <v>821</v>
      </c>
      <c r="D389" s="118" t="s">
        <v>822</v>
      </c>
      <c r="E389" s="176" t="s">
        <v>623</v>
      </c>
      <c r="F389" s="28" t="s">
        <v>299</v>
      </c>
      <c r="G389" s="70">
        <f t="shared" ref="G389:P389" si="194">G$276-G$277</f>
        <v>0</v>
      </c>
      <c r="H389" s="70">
        <f t="shared" si="194"/>
        <v>0</v>
      </c>
      <c r="I389" s="70">
        <f t="shared" si="194"/>
        <v>0</v>
      </c>
      <c r="J389" s="70">
        <f t="shared" si="194"/>
        <v>0</v>
      </c>
      <c r="K389" s="70">
        <f t="shared" si="194"/>
        <v>0</v>
      </c>
      <c r="L389" s="70">
        <f t="shared" si="194"/>
        <v>0</v>
      </c>
      <c r="M389" s="70">
        <f t="shared" si="194"/>
        <v>0</v>
      </c>
      <c r="N389" s="70">
        <f t="shared" si="194"/>
        <v>0</v>
      </c>
      <c r="O389" s="70">
        <f t="shared" si="194"/>
        <v>0</v>
      </c>
      <c r="P389" s="70">
        <f t="shared" si="194"/>
        <v>0</v>
      </c>
      <c r="Q389" s="504"/>
      <c r="R389" s="55"/>
    </row>
    <row r="390" spans="2:18" hidden="1">
      <c r="B390" s="94" t="s">
        <v>533</v>
      </c>
      <c r="C390" s="183"/>
      <c r="D390" s="189"/>
      <c r="E390" s="176" t="s">
        <v>624</v>
      </c>
      <c r="F390" s="28" t="s">
        <v>299</v>
      </c>
      <c r="G390" s="517">
        <v>0</v>
      </c>
      <c r="H390" s="517">
        <v>0</v>
      </c>
      <c r="I390" s="517">
        <v>0</v>
      </c>
      <c r="J390" s="517">
        <v>0</v>
      </c>
      <c r="K390" s="517">
        <v>0</v>
      </c>
      <c r="L390" s="517">
        <v>0</v>
      </c>
      <c r="M390" s="517">
        <v>0</v>
      </c>
      <c r="N390" s="517">
        <v>0</v>
      </c>
      <c r="O390" s="517">
        <v>0</v>
      </c>
      <c r="P390" s="517">
        <v>0</v>
      </c>
      <c r="Q390" s="504"/>
      <c r="R390" s="49"/>
    </row>
    <row r="391" spans="2:18" hidden="1">
      <c r="B391" s="94" t="s">
        <v>533</v>
      </c>
      <c r="C391" s="183"/>
      <c r="D391" s="189"/>
      <c r="E391" s="176" t="s">
        <v>625</v>
      </c>
      <c r="F391" s="28" t="s">
        <v>299</v>
      </c>
      <c r="G391" s="70">
        <f t="shared" ref="G391:P391" si="195">IF(G390="",G389,G390)</f>
        <v>0</v>
      </c>
      <c r="H391" s="70">
        <f t="shared" si="195"/>
        <v>0</v>
      </c>
      <c r="I391" s="70">
        <f t="shared" si="195"/>
        <v>0</v>
      </c>
      <c r="J391" s="70">
        <f t="shared" si="195"/>
        <v>0</v>
      </c>
      <c r="K391" s="70">
        <f t="shared" si="195"/>
        <v>0</v>
      </c>
      <c r="L391" s="70">
        <f t="shared" si="195"/>
        <v>0</v>
      </c>
      <c r="M391" s="70">
        <f t="shared" si="195"/>
        <v>0</v>
      </c>
      <c r="N391" s="70">
        <f t="shared" si="195"/>
        <v>0</v>
      </c>
      <c r="O391" s="70">
        <f t="shared" si="195"/>
        <v>0</v>
      </c>
      <c r="P391" s="70">
        <f t="shared" si="195"/>
        <v>0</v>
      </c>
      <c r="Q391" s="504"/>
      <c r="R391" s="55"/>
    </row>
    <row r="392" spans="2:18" hidden="1">
      <c r="B392" s="94" t="s">
        <v>533</v>
      </c>
      <c r="C392" s="183"/>
      <c r="D392" s="189"/>
      <c r="E392" s="176" t="s">
        <v>227</v>
      </c>
      <c r="F392" s="28" t="s">
        <v>329</v>
      </c>
      <c r="G392" s="54">
        <f t="shared" ref="G392:P392" si="196">Geotextile_buy_install_CS</f>
        <v>25335</v>
      </c>
      <c r="H392" s="54">
        <f t="shared" si="196"/>
        <v>25335</v>
      </c>
      <c r="I392" s="54">
        <f t="shared" si="196"/>
        <v>25335</v>
      </c>
      <c r="J392" s="54">
        <f t="shared" si="196"/>
        <v>25335</v>
      </c>
      <c r="K392" s="54">
        <f t="shared" si="196"/>
        <v>25335</v>
      </c>
      <c r="L392" s="54">
        <f t="shared" si="196"/>
        <v>25335</v>
      </c>
      <c r="M392" s="54">
        <f t="shared" si="196"/>
        <v>25335</v>
      </c>
      <c r="N392" s="54">
        <f t="shared" si="196"/>
        <v>25335</v>
      </c>
      <c r="O392" s="54">
        <f t="shared" si="196"/>
        <v>25335</v>
      </c>
      <c r="P392" s="54">
        <f t="shared" si="196"/>
        <v>25335</v>
      </c>
      <c r="Q392" s="504"/>
      <c r="R392" s="55"/>
    </row>
    <row r="393" spans="2:18" hidden="1">
      <c r="B393" s="94" t="s">
        <v>533</v>
      </c>
      <c r="C393" s="183"/>
      <c r="D393" s="189"/>
      <c r="E393" s="180" t="s">
        <v>229</v>
      </c>
      <c r="F393" s="28" t="s">
        <v>329</v>
      </c>
      <c r="G393" s="414"/>
      <c r="H393" s="414"/>
      <c r="I393" s="414"/>
      <c r="J393" s="414"/>
      <c r="K393" s="414"/>
      <c r="L393" s="414"/>
      <c r="M393" s="414"/>
      <c r="N393" s="414"/>
      <c r="O393" s="414"/>
      <c r="P393" s="414"/>
      <c r="Q393" s="504"/>
      <c r="R393" s="49"/>
    </row>
    <row r="394" spans="2:18" hidden="1">
      <c r="B394" s="94" t="s">
        <v>533</v>
      </c>
      <c r="C394" s="183"/>
      <c r="D394" s="190"/>
      <c r="E394" s="176" t="s">
        <v>146</v>
      </c>
      <c r="F394" s="28" t="s">
        <v>207</v>
      </c>
      <c r="G394" s="151">
        <f t="shared" ref="G394:P394" si="197">IF(G393="",G392,G393)*G391</f>
        <v>0</v>
      </c>
      <c r="H394" s="151">
        <f t="shared" si="197"/>
        <v>0</v>
      </c>
      <c r="I394" s="151">
        <f t="shared" si="197"/>
        <v>0</v>
      </c>
      <c r="J394" s="151">
        <f t="shared" si="197"/>
        <v>0</v>
      </c>
      <c r="K394" s="151">
        <f t="shared" si="197"/>
        <v>0</v>
      </c>
      <c r="L394" s="151">
        <f t="shared" si="197"/>
        <v>0</v>
      </c>
      <c r="M394" s="151">
        <f t="shared" si="197"/>
        <v>0</v>
      </c>
      <c r="N394" s="151">
        <f t="shared" si="197"/>
        <v>0</v>
      </c>
      <c r="O394" s="151">
        <f t="shared" si="197"/>
        <v>0</v>
      </c>
      <c r="P394" s="151">
        <f t="shared" si="197"/>
        <v>0</v>
      </c>
      <c r="Q394" s="504"/>
      <c r="R394" s="49"/>
    </row>
    <row r="395" spans="2:18" hidden="1">
      <c r="B395" s="94" t="s">
        <v>533</v>
      </c>
      <c r="C395" s="183"/>
      <c r="D395" s="118" t="s">
        <v>823</v>
      </c>
      <c r="E395" s="176" t="s">
        <v>623</v>
      </c>
      <c r="F395" s="28" t="s">
        <v>299</v>
      </c>
      <c r="G395" s="70">
        <f t="shared" ref="G395:P395" si="198">G$276-G$277</f>
        <v>0</v>
      </c>
      <c r="H395" s="70">
        <f t="shared" si="198"/>
        <v>0</v>
      </c>
      <c r="I395" s="70">
        <f t="shared" si="198"/>
        <v>0</v>
      </c>
      <c r="J395" s="70">
        <f t="shared" si="198"/>
        <v>0</v>
      </c>
      <c r="K395" s="70">
        <f t="shared" si="198"/>
        <v>0</v>
      </c>
      <c r="L395" s="70">
        <f t="shared" si="198"/>
        <v>0</v>
      </c>
      <c r="M395" s="70">
        <f t="shared" si="198"/>
        <v>0</v>
      </c>
      <c r="N395" s="70">
        <f t="shared" si="198"/>
        <v>0</v>
      </c>
      <c r="O395" s="70">
        <f t="shared" si="198"/>
        <v>0</v>
      </c>
      <c r="P395" s="70">
        <f t="shared" si="198"/>
        <v>0</v>
      </c>
      <c r="Q395" s="504"/>
      <c r="R395" s="55"/>
    </row>
    <row r="396" spans="2:18" hidden="1">
      <c r="B396" s="94" t="s">
        <v>533</v>
      </c>
      <c r="C396" s="183"/>
      <c r="D396" s="189"/>
      <c r="E396" s="176" t="s">
        <v>624</v>
      </c>
      <c r="F396" s="28" t="s">
        <v>299</v>
      </c>
      <c r="G396" s="517">
        <v>0</v>
      </c>
      <c r="H396" s="517">
        <v>0</v>
      </c>
      <c r="I396" s="517">
        <v>0</v>
      </c>
      <c r="J396" s="517">
        <v>0</v>
      </c>
      <c r="K396" s="517">
        <v>0</v>
      </c>
      <c r="L396" s="517">
        <v>0</v>
      </c>
      <c r="M396" s="517">
        <v>0</v>
      </c>
      <c r="N396" s="517">
        <v>0</v>
      </c>
      <c r="O396" s="517">
        <v>0</v>
      </c>
      <c r="P396" s="517">
        <v>0</v>
      </c>
      <c r="Q396" s="504"/>
      <c r="R396" s="49"/>
    </row>
    <row r="397" spans="2:18" hidden="1">
      <c r="B397" s="94" t="s">
        <v>533</v>
      </c>
      <c r="C397" s="183"/>
      <c r="D397" s="189"/>
      <c r="E397" s="176" t="s">
        <v>625</v>
      </c>
      <c r="F397" s="28" t="s">
        <v>299</v>
      </c>
      <c r="G397" s="70">
        <f t="shared" ref="G397:P397" si="199">IF(G396="",G395,G396)</f>
        <v>0</v>
      </c>
      <c r="H397" s="70">
        <f t="shared" si="199"/>
        <v>0</v>
      </c>
      <c r="I397" s="70">
        <f t="shared" si="199"/>
        <v>0</v>
      </c>
      <c r="J397" s="70">
        <f t="shared" si="199"/>
        <v>0</v>
      </c>
      <c r="K397" s="70">
        <f t="shared" si="199"/>
        <v>0</v>
      </c>
      <c r="L397" s="70">
        <f t="shared" si="199"/>
        <v>0</v>
      </c>
      <c r="M397" s="70">
        <f t="shared" si="199"/>
        <v>0</v>
      </c>
      <c r="N397" s="70">
        <f t="shared" si="199"/>
        <v>0</v>
      </c>
      <c r="O397" s="70">
        <f t="shared" si="199"/>
        <v>0</v>
      </c>
      <c r="P397" s="70">
        <f t="shared" si="199"/>
        <v>0</v>
      </c>
      <c r="Q397" s="504"/>
      <c r="R397" s="55"/>
    </row>
    <row r="398" spans="2:18" hidden="1">
      <c r="B398" s="94" t="s">
        <v>533</v>
      </c>
      <c r="C398" s="183"/>
      <c r="D398" s="189"/>
      <c r="E398" s="176" t="s">
        <v>227</v>
      </c>
      <c r="F398" s="28" t="s">
        <v>329</v>
      </c>
      <c r="G398" s="54">
        <f t="shared" ref="G398:P398" si="200">Geosynthetic_buy_install_CS</f>
        <v>264610</v>
      </c>
      <c r="H398" s="54">
        <f t="shared" si="200"/>
        <v>264610</v>
      </c>
      <c r="I398" s="54">
        <f t="shared" si="200"/>
        <v>264610</v>
      </c>
      <c r="J398" s="54">
        <f t="shared" si="200"/>
        <v>264610</v>
      </c>
      <c r="K398" s="54">
        <f t="shared" si="200"/>
        <v>264610</v>
      </c>
      <c r="L398" s="54">
        <f t="shared" si="200"/>
        <v>264610</v>
      </c>
      <c r="M398" s="54">
        <f t="shared" si="200"/>
        <v>264610</v>
      </c>
      <c r="N398" s="54">
        <f t="shared" si="200"/>
        <v>264610</v>
      </c>
      <c r="O398" s="54">
        <f t="shared" si="200"/>
        <v>264610</v>
      </c>
      <c r="P398" s="54">
        <f t="shared" si="200"/>
        <v>264610</v>
      </c>
      <c r="Q398" s="504"/>
      <c r="R398" s="55"/>
    </row>
    <row r="399" spans="2:18" hidden="1">
      <c r="B399" s="94" t="s">
        <v>533</v>
      </c>
      <c r="C399" s="183"/>
      <c r="D399" s="189"/>
      <c r="E399" s="180" t="s">
        <v>229</v>
      </c>
      <c r="F399" s="28" t="s">
        <v>329</v>
      </c>
      <c r="G399" s="414"/>
      <c r="H399" s="414"/>
      <c r="I399" s="414"/>
      <c r="J399" s="414"/>
      <c r="K399" s="414"/>
      <c r="L399" s="414"/>
      <c r="M399" s="414"/>
      <c r="N399" s="414"/>
      <c r="O399" s="414"/>
      <c r="P399" s="414"/>
      <c r="Q399" s="504"/>
      <c r="R399" s="49"/>
    </row>
    <row r="400" spans="2:18" hidden="1">
      <c r="B400" s="94" t="s">
        <v>533</v>
      </c>
      <c r="C400" s="183"/>
      <c r="D400" s="190"/>
      <c r="E400" s="176" t="s">
        <v>146</v>
      </c>
      <c r="F400" s="28" t="s">
        <v>207</v>
      </c>
      <c r="G400" s="151">
        <f t="shared" ref="G400:P400" si="201">IF(G399="",G398,G399)*G397</f>
        <v>0</v>
      </c>
      <c r="H400" s="151">
        <f t="shared" si="201"/>
        <v>0</v>
      </c>
      <c r="I400" s="151">
        <f t="shared" si="201"/>
        <v>0</v>
      </c>
      <c r="J400" s="151">
        <f t="shared" si="201"/>
        <v>0</v>
      </c>
      <c r="K400" s="151">
        <f t="shared" si="201"/>
        <v>0</v>
      </c>
      <c r="L400" s="151">
        <f t="shared" si="201"/>
        <v>0</v>
      </c>
      <c r="M400" s="151">
        <f t="shared" si="201"/>
        <v>0</v>
      </c>
      <c r="N400" s="151">
        <f t="shared" si="201"/>
        <v>0</v>
      </c>
      <c r="O400" s="151">
        <f t="shared" si="201"/>
        <v>0</v>
      </c>
      <c r="P400" s="151">
        <f t="shared" si="201"/>
        <v>0</v>
      </c>
      <c r="Q400" s="504"/>
      <c r="R400" s="49"/>
    </row>
    <row r="401" spans="2:18" hidden="1">
      <c r="B401" s="94" t="s">
        <v>533</v>
      </c>
      <c r="C401" s="183"/>
      <c r="D401" s="118" t="s">
        <v>824</v>
      </c>
      <c r="E401" s="176" t="s">
        <v>623</v>
      </c>
      <c r="F401" s="28" t="s">
        <v>299</v>
      </c>
      <c r="G401" s="70">
        <f t="shared" ref="G401:P401" si="202">G$276-G$277</f>
        <v>0</v>
      </c>
      <c r="H401" s="70">
        <f t="shared" si="202"/>
        <v>0</v>
      </c>
      <c r="I401" s="70">
        <f t="shared" si="202"/>
        <v>0</v>
      </c>
      <c r="J401" s="70">
        <f t="shared" si="202"/>
        <v>0</v>
      </c>
      <c r="K401" s="70">
        <f t="shared" si="202"/>
        <v>0</v>
      </c>
      <c r="L401" s="70">
        <f t="shared" si="202"/>
        <v>0</v>
      </c>
      <c r="M401" s="70">
        <f t="shared" si="202"/>
        <v>0</v>
      </c>
      <c r="N401" s="70">
        <f t="shared" si="202"/>
        <v>0</v>
      </c>
      <c r="O401" s="70">
        <f t="shared" si="202"/>
        <v>0</v>
      </c>
      <c r="P401" s="70">
        <f t="shared" si="202"/>
        <v>0</v>
      </c>
      <c r="Q401" s="504"/>
      <c r="R401" s="55"/>
    </row>
    <row r="402" spans="2:18" hidden="1">
      <c r="B402" s="94" t="s">
        <v>533</v>
      </c>
      <c r="C402" s="183"/>
      <c r="D402" s="189"/>
      <c r="E402" s="176" t="s">
        <v>624</v>
      </c>
      <c r="F402" s="28" t="s">
        <v>299</v>
      </c>
      <c r="G402" s="517">
        <v>0</v>
      </c>
      <c r="H402" s="517">
        <v>0</v>
      </c>
      <c r="I402" s="517">
        <v>0</v>
      </c>
      <c r="J402" s="517">
        <v>0</v>
      </c>
      <c r="K402" s="517">
        <v>0</v>
      </c>
      <c r="L402" s="517">
        <v>0</v>
      </c>
      <c r="M402" s="517">
        <v>0</v>
      </c>
      <c r="N402" s="517">
        <v>0</v>
      </c>
      <c r="O402" s="517">
        <v>0</v>
      </c>
      <c r="P402" s="517">
        <v>0</v>
      </c>
      <c r="Q402" s="504"/>
      <c r="R402" s="49"/>
    </row>
    <row r="403" spans="2:18" hidden="1">
      <c r="B403" s="94" t="s">
        <v>533</v>
      </c>
      <c r="C403" s="183"/>
      <c r="D403" s="189"/>
      <c r="E403" s="176" t="s">
        <v>625</v>
      </c>
      <c r="F403" s="28" t="s">
        <v>299</v>
      </c>
      <c r="G403" s="70">
        <f t="shared" ref="G403:P403" si="203">IF(G402="",G401,G402)</f>
        <v>0</v>
      </c>
      <c r="H403" s="70">
        <f t="shared" si="203"/>
        <v>0</v>
      </c>
      <c r="I403" s="70">
        <f t="shared" si="203"/>
        <v>0</v>
      </c>
      <c r="J403" s="70">
        <f t="shared" si="203"/>
        <v>0</v>
      </c>
      <c r="K403" s="70">
        <f t="shared" si="203"/>
        <v>0</v>
      </c>
      <c r="L403" s="70">
        <f t="shared" si="203"/>
        <v>0</v>
      </c>
      <c r="M403" s="70">
        <f t="shared" si="203"/>
        <v>0</v>
      </c>
      <c r="N403" s="70">
        <f t="shared" si="203"/>
        <v>0</v>
      </c>
      <c r="O403" s="70">
        <f t="shared" si="203"/>
        <v>0</v>
      </c>
      <c r="P403" s="70">
        <f t="shared" si="203"/>
        <v>0</v>
      </c>
      <c r="Q403" s="504"/>
      <c r="R403" s="55"/>
    </row>
    <row r="404" spans="2:18" hidden="1">
      <c r="B404" s="94" t="s">
        <v>533</v>
      </c>
      <c r="C404" s="183"/>
      <c r="D404" s="189"/>
      <c r="E404" s="176" t="s">
        <v>227</v>
      </c>
      <c r="F404" s="28" t="s">
        <v>329</v>
      </c>
      <c r="G404" s="92">
        <f t="shared" ref="G404:P404" si="204">Geomembrane_buy_install_CS</f>
        <v>1277871.2549530484</v>
      </c>
      <c r="H404" s="92">
        <f t="shared" si="204"/>
        <v>1277871.2549530484</v>
      </c>
      <c r="I404" s="92">
        <f t="shared" si="204"/>
        <v>1277871.2549530484</v>
      </c>
      <c r="J404" s="92">
        <f t="shared" si="204"/>
        <v>1277871.2549530484</v>
      </c>
      <c r="K404" s="92">
        <f t="shared" si="204"/>
        <v>1277871.2549530484</v>
      </c>
      <c r="L404" s="92">
        <f t="shared" si="204"/>
        <v>1277871.2549530484</v>
      </c>
      <c r="M404" s="92">
        <f t="shared" si="204"/>
        <v>1277871.2549530484</v>
      </c>
      <c r="N404" s="92">
        <f t="shared" si="204"/>
        <v>1277871.2549530484</v>
      </c>
      <c r="O404" s="92">
        <f t="shared" si="204"/>
        <v>1277871.2549530484</v>
      </c>
      <c r="P404" s="92">
        <f t="shared" si="204"/>
        <v>1277871.2549530484</v>
      </c>
      <c r="Q404" s="504"/>
      <c r="R404" s="55"/>
    </row>
    <row r="405" spans="2:18" hidden="1">
      <c r="B405" s="94" t="s">
        <v>533</v>
      </c>
      <c r="C405" s="183"/>
      <c r="D405" s="190"/>
      <c r="E405" s="180" t="s">
        <v>229</v>
      </c>
      <c r="F405" s="28" t="s">
        <v>329</v>
      </c>
      <c r="G405" s="414"/>
      <c r="H405" s="414"/>
      <c r="I405" s="414"/>
      <c r="J405" s="414"/>
      <c r="K405" s="414"/>
      <c r="L405" s="414"/>
      <c r="M405" s="414"/>
      <c r="N405" s="414"/>
      <c r="O405" s="414"/>
      <c r="P405" s="414"/>
      <c r="Q405" s="504"/>
      <c r="R405" s="49"/>
    </row>
    <row r="406" spans="2:18" hidden="1">
      <c r="B406" s="94" t="s">
        <v>533</v>
      </c>
      <c r="C406" s="185"/>
      <c r="D406" s="186" t="s">
        <v>825</v>
      </c>
      <c r="E406" s="176" t="s">
        <v>146</v>
      </c>
      <c r="F406" s="28" t="s">
        <v>207</v>
      </c>
      <c r="G406" s="151">
        <f t="shared" ref="G406:P406" si="205">IF(G405="",G404,G405)*G403</f>
        <v>0</v>
      </c>
      <c r="H406" s="151">
        <f t="shared" si="205"/>
        <v>0</v>
      </c>
      <c r="I406" s="151">
        <f t="shared" si="205"/>
        <v>0</v>
      </c>
      <c r="J406" s="151">
        <f t="shared" si="205"/>
        <v>0</v>
      </c>
      <c r="K406" s="151">
        <f t="shared" si="205"/>
        <v>0</v>
      </c>
      <c r="L406" s="151">
        <f t="shared" si="205"/>
        <v>0</v>
      </c>
      <c r="M406" s="151">
        <f t="shared" si="205"/>
        <v>0</v>
      </c>
      <c r="N406" s="151">
        <f t="shared" si="205"/>
        <v>0</v>
      </c>
      <c r="O406" s="151">
        <f t="shared" si="205"/>
        <v>0</v>
      </c>
      <c r="P406" s="151">
        <f t="shared" si="205"/>
        <v>0</v>
      </c>
      <c r="Q406" s="504"/>
      <c r="R406" s="49"/>
    </row>
    <row r="407" spans="2:18" ht="12" hidden="1" thickBot="1">
      <c r="B407" s="94" t="s">
        <v>533</v>
      </c>
      <c r="C407" s="200"/>
      <c r="D407" s="188"/>
      <c r="E407" s="205" t="str">
        <f>C389</f>
        <v>Source and apply additional capping</v>
      </c>
      <c r="F407" s="72"/>
      <c r="G407" s="64">
        <f t="shared" ref="G407:P407" si="206">G394+G400+G406</f>
        <v>0</v>
      </c>
      <c r="H407" s="64">
        <f t="shared" si="206"/>
        <v>0</v>
      </c>
      <c r="I407" s="64">
        <f t="shared" si="206"/>
        <v>0</v>
      </c>
      <c r="J407" s="64">
        <f t="shared" si="206"/>
        <v>0</v>
      </c>
      <c r="K407" s="64">
        <f t="shared" si="206"/>
        <v>0</v>
      </c>
      <c r="L407" s="64">
        <f t="shared" si="206"/>
        <v>0</v>
      </c>
      <c r="M407" s="64">
        <f t="shared" si="206"/>
        <v>0</v>
      </c>
      <c r="N407" s="64">
        <f t="shared" si="206"/>
        <v>0</v>
      </c>
      <c r="O407" s="64">
        <f t="shared" si="206"/>
        <v>0</v>
      </c>
      <c r="P407" s="64">
        <f t="shared" si="206"/>
        <v>0</v>
      </c>
      <c r="Q407" s="504"/>
      <c r="R407" s="49"/>
    </row>
    <row r="408" spans="2:18" hidden="1">
      <c r="B408" s="94" t="s">
        <v>533</v>
      </c>
      <c r="C408" s="187" t="s">
        <v>512</v>
      </c>
      <c r="D408" s="119" t="s">
        <v>513</v>
      </c>
      <c r="E408" s="176" t="s">
        <v>623</v>
      </c>
      <c r="F408" s="28" t="s">
        <v>299</v>
      </c>
      <c r="G408" s="70">
        <f t="shared" ref="G408:P408" si="207">G276*10%</f>
        <v>0</v>
      </c>
      <c r="H408" s="70">
        <f t="shared" si="207"/>
        <v>0</v>
      </c>
      <c r="I408" s="70">
        <f t="shared" si="207"/>
        <v>0</v>
      </c>
      <c r="J408" s="70">
        <f t="shared" si="207"/>
        <v>0</v>
      </c>
      <c r="K408" s="70">
        <f t="shared" si="207"/>
        <v>0</v>
      </c>
      <c r="L408" s="70">
        <f t="shared" si="207"/>
        <v>0</v>
      </c>
      <c r="M408" s="70">
        <f t="shared" si="207"/>
        <v>0</v>
      </c>
      <c r="N408" s="70">
        <f t="shared" si="207"/>
        <v>0</v>
      </c>
      <c r="O408" s="70">
        <f t="shared" si="207"/>
        <v>0</v>
      </c>
      <c r="P408" s="70">
        <f t="shared" si="207"/>
        <v>0</v>
      </c>
      <c r="Q408" s="504"/>
      <c r="R408" s="49"/>
    </row>
    <row r="409" spans="2:18" hidden="1">
      <c r="B409" s="94" t="s">
        <v>533</v>
      </c>
      <c r="C409" s="183"/>
      <c r="D409" s="160"/>
      <c r="E409" s="176" t="s">
        <v>624</v>
      </c>
      <c r="F409" s="28" t="s">
        <v>299</v>
      </c>
      <c r="G409" s="411"/>
      <c r="H409" s="411"/>
      <c r="I409" s="411"/>
      <c r="J409" s="411"/>
      <c r="K409" s="411"/>
      <c r="L409" s="411"/>
      <c r="M409" s="411"/>
      <c r="N409" s="411"/>
      <c r="O409" s="411"/>
      <c r="P409" s="411"/>
      <c r="Q409" s="504"/>
      <c r="R409" s="49"/>
    </row>
    <row r="410" spans="2:18" hidden="1">
      <c r="B410" s="94" t="s">
        <v>533</v>
      </c>
      <c r="C410" s="183"/>
      <c r="D410" s="160"/>
      <c r="E410" s="176" t="s">
        <v>625</v>
      </c>
      <c r="F410" s="28" t="s">
        <v>299</v>
      </c>
      <c r="G410" s="70">
        <f t="shared" ref="G410:P410" si="208">IF(G409="",G408,G409)</f>
        <v>0</v>
      </c>
      <c r="H410" s="70">
        <f t="shared" si="208"/>
        <v>0</v>
      </c>
      <c r="I410" s="70">
        <f t="shared" si="208"/>
        <v>0</v>
      </c>
      <c r="J410" s="70">
        <f t="shared" si="208"/>
        <v>0</v>
      </c>
      <c r="K410" s="70">
        <f t="shared" si="208"/>
        <v>0</v>
      </c>
      <c r="L410" s="70">
        <f t="shared" si="208"/>
        <v>0</v>
      </c>
      <c r="M410" s="70">
        <f t="shared" si="208"/>
        <v>0</v>
      </c>
      <c r="N410" s="70">
        <f t="shared" si="208"/>
        <v>0</v>
      </c>
      <c r="O410" s="70">
        <f t="shared" si="208"/>
        <v>0</v>
      </c>
      <c r="P410" s="70">
        <f t="shared" si="208"/>
        <v>0</v>
      </c>
      <c r="Q410" s="504"/>
      <c r="R410" s="49"/>
    </row>
    <row r="411" spans="2:18" ht="123.75" hidden="1">
      <c r="B411" s="94" t="s">
        <v>533</v>
      </c>
      <c r="C411" s="183"/>
      <c r="D411" s="160"/>
      <c r="E411" s="176" t="s">
        <v>514</v>
      </c>
      <c r="F411" s="28" t="s">
        <v>123</v>
      </c>
      <c r="G411" s="506" t="s">
        <v>515</v>
      </c>
      <c r="H411" s="506" t="s">
        <v>516</v>
      </c>
      <c r="I411" s="506" t="s">
        <v>517</v>
      </c>
      <c r="J411" s="506" t="s">
        <v>518</v>
      </c>
      <c r="K411" s="506" t="s">
        <v>519</v>
      </c>
      <c r="L411" s="506" t="s">
        <v>520</v>
      </c>
      <c r="M411" s="506" t="s">
        <v>521</v>
      </c>
      <c r="N411" s="506" t="s">
        <v>515</v>
      </c>
      <c r="O411" s="506" t="s">
        <v>515</v>
      </c>
      <c r="P411" s="506" t="s">
        <v>515</v>
      </c>
      <c r="Q411" s="504"/>
      <c r="R411" s="49"/>
    </row>
    <row r="412" spans="2:18" hidden="1">
      <c r="B412" s="94" t="s">
        <v>533</v>
      </c>
      <c r="C412" s="183"/>
      <c r="D412" s="160"/>
      <c r="E412" s="176" t="s">
        <v>227</v>
      </c>
      <c r="F412" s="28" t="s">
        <v>329</v>
      </c>
      <c r="G412" s="54">
        <f t="shared" ref="G412:P412" si="209">_xlfn.XLOOKUP(G411,Drains_names_CS,Drains_rates_CS)</f>
        <v>17746.948711216752</v>
      </c>
      <c r="H412" s="54">
        <f t="shared" si="209"/>
        <v>20218.970183654852</v>
      </c>
      <c r="I412" s="54">
        <f t="shared" si="209"/>
        <v>22216.62782359769</v>
      </c>
      <c r="J412" s="54">
        <f t="shared" si="209"/>
        <v>23495.197934061274</v>
      </c>
      <c r="K412" s="54">
        <f t="shared" si="209"/>
        <v>30818.115265667206</v>
      </c>
      <c r="L412" s="54">
        <f t="shared" si="209"/>
        <v>4174</v>
      </c>
      <c r="M412" s="54">
        <f t="shared" si="209"/>
        <v>3930.220784661823</v>
      </c>
      <c r="N412" s="54">
        <f t="shared" si="209"/>
        <v>17746.948711216752</v>
      </c>
      <c r="O412" s="54">
        <f t="shared" si="209"/>
        <v>17746.948711216752</v>
      </c>
      <c r="P412" s="54">
        <f t="shared" si="209"/>
        <v>17746.948711216752</v>
      </c>
      <c r="Q412" s="504"/>
      <c r="R412" s="55"/>
    </row>
    <row r="413" spans="2:18" hidden="1">
      <c r="B413" s="94" t="s">
        <v>533</v>
      </c>
      <c r="C413" s="183"/>
      <c r="D413" s="160"/>
      <c r="E413" s="180" t="s">
        <v>229</v>
      </c>
      <c r="F413" s="28" t="s">
        <v>241</v>
      </c>
      <c r="G413" s="414"/>
      <c r="H413" s="414"/>
      <c r="I413" s="414"/>
      <c r="J413" s="414"/>
      <c r="K413" s="414"/>
      <c r="L413" s="414"/>
      <c r="M413" s="414"/>
      <c r="N413" s="414"/>
      <c r="O413" s="414"/>
      <c r="P413" s="414"/>
      <c r="Q413" s="504"/>
      <c r="R413" s="49"/>
    </row>
    <row r="414" spans="2:18" hidden="1">
      <c r="B414" s="94" t="s">
        <v>533</v>
      </c>
      <c r="C414" s="185"/>
      <c r="D414" s="157"/>
      <c r="E414" s="176" t="s">
        <v>146</v>
      </c>
      <c r="F414" s="28" t="s">
        <v>207</v>
      </c>
      <c r="G414" s="126">
        <f t="shared" ref="G414:P414" si="210">IF(G413="",G412,G413)*G408</f>
        <v>0</v>
      </c>
      <c r="H414" s="126">
        <f t="shared" si="210"/>
        <v>0</v>
      </c>
      <c r="I414" s="126">
        <f t="shared" si="210"/>
        <v>0</v>
      </c>
      <c r="J414" s="126">
        <f t="shared" si="210"/>
        <v>0</v>
      </c>
      <c r="K414" s="126">
        <f t="shared" si="210"/>
        <v>0</v>
      </c>
      <c r="L414" s="126">
        <f t="shared" si="210"/>
        <v>0</v>
      </c>
      <c r="M414" s="126">
        <f t="shared" si="210"/>
        <v>0</v>
      </c>
      <c r="N414" s="126">
        <f t="shared" si="210"/>
        <v>0</v>
      </c>
      <c r="O414" s="126">
        <f t="shared" si="210"/>
        <v>0</v>
      </c>
      <c r="P414" s="126">
        <f t="shared" si="210"/>
        <v>0</v>
      </c>
      <c r="Q414" s="504"/>
      <c r="R414" s="49"/>
    </row>
    <row r="415" spans="2:18" hidden="1">
      <c r="B415" s="94" t="s">
        <v>533</v>
      </c>
      <c r="C415" s="187" t="s">
        <v>522</v>
      </c>
      <c r="D415" s="119" t="s">
        <v>523</v>
      </c>
      <c r="E415" s="176" t="s">
        <v>214</v>
      </c>
      <c r="F415" s="28" t="s">
        <v>299</v>
      </c>
      <c r="G415" s="411"/>
      <c r="H415" s="411"/>
      <c r="I415" s="411"/>
      <c r="J415" s="411"/>
      <c r="K415" s="411"/>
      <c r="L415" s="411"/>
      <c r="M415" s="411"/>
      <c r="N415" s="411"/>
      <c r="O415" s="411"/>
      <c r="P415" s="411"/>
      <c r="Q415" s="504"/>
      <c r="R415" s="49"/>
    </row>
    <row r="416" spans="2:18" hidden="1">
      <c r="B416" s="94" t="s">
        <v>533</v>
      </c>
      <c r="C416" s="183"/>
      <c r="D416" s="160"/>
      <c r="E416" s="176" t="s">
        <v>227</v>
      </c>
      <c r="F416" s="28" t="s">
        <v>299</v>
      </c>
      <c r="G416" s="54">
        <f>'Cost Schedule'!$D$584+'Cost Schedule'!$D$210</f>
        <v>796.84982826418661</v>
      </c>
      <c r="H416" s="54">
        <f>'Cost Schedule'!$D$584+'Cost Schedule'!$D$210</f>
        <v>796.84982826418661</v>
      </c>
      <c r="I416" s="54">
        <f>'Cost Schedule'!$D$584+'Cost Schedule'!$D$210</f>
        <v>796.84982826418661</v>
      </c>
      <c r="J416" s="54">
        <f>'Cost Schedule'!$D$584+'Cost Schedule'!$D$210</f>
        <v>796.84982826418661</v>
      </c>
      <c r="K416" s="54">
        <f>'Cost Schedule'!$D$584+'Cost Schedule'!$D$210</f>
        <v>796.84982826418661</v>
      </c>
      <c r="L416" s="54">
        <f>'Cost Schedule'!$D$584+'Cost Schedule'!$D$210</f>
        <v>796.84982826418661</v>
      </c>
      <c r="M416" s="54">
        <f>'Cost Schedule'!$D$584+'Cost Schedule'!$D$210</f>
        <v>796.84982826418661</v>
      </c>
      <c r="N416" s="54">
        <f>'Cost Schedule'!$D$584+'Cost Schedule'!$D$210</f>
        <v>796.84982826418661</v>
      </c>
      <c r="O416" s="54">
        <f>'Cost Schedule'!$D$584+'Cost Schedule'!$D$210</f>
        <v>796.84982826418661</v>
      </c>
      <c r="P416" s="54">
        <f>'Cost Schedule'!$D$584+'Cost Schedule'!$D$210</f>
        <v>796.84982826418661</v>
      </c>
      <c r="Q416" s="504"/>
      <c r="R416" s="55"/>
    </row>
    <row r="417" spans="2:18" hidden="1">
      <c r="B417" s="94" t="s">
        <v>533</v>
      </c>
      <c r="C417" s="183"/>
      <c r="D417" s="160"/>
      <c r="E417" s="180" t="s">
        <v>229</v>
      </c>
      <c r="F417" s="28" t="s">
        <v>241</v>
      </c>
      <c r="G417" s="414"/>
      <c r="H417" s="414"/>
      <c r="I417" s="414"/>
      <c r="J417" s="414"/>
      <c r="K417" s="414"/>
      <c r="L417" s="414"/>
      <c r="M417" s="414"/>
      <c r="N417" s="414"/>
      <c r="O417" s="414"/>
      <c r="P417" s="414"/>
      <c r="Q417" s="504"/>
      <c r="R417" s="49"/>
    </row>
    <row r="418" spans="2:18" hidden="1">
      <c r="B418" s="94" t="s">
        <v>533</v>
      </c>
      <c r="C418" s="185"/>
      <c r="D418" s="157"/>
      <c r="E418" s="176" t="s">
        <v>146</v>
      </c>
      <c r="F418" s="28" t="s">
        <v>207</v>
      </c>
      <c r="G418" s="71">
        <f t="shared" ref="G418:P418" si="211">IF(G417="",G416,G417)*G415</f>
        <v>0</v>
      </c>
      <c r="H418" s="71">
        <f t="shared" si="211"/>
        <v>0</v>
      </c>
      <c r="I418" s="71">
        <f t="shared" si="211"/>
        <v>0</v>
      </c>
      <c r="J418" s="71">
        <f t="shared" si="211"/>
        <v>0</v>
      </c>
      <c r="K418" s="71">
        <f t="shared" si="211"/>
        <v>0</v>
      </c>
      <c r="L418" s="71">
        <f t="shared" si="211"/>
        <v>0</v>
      </c>
      <c r="M418" s="71">
        <f t="shared" si="211"/>
        <v>0</v>
      </c>
      <c r="N418" s="71">
        <f t="shared" si="211"/>
        <v>0</v>
      </c>
      <c r="O418" s="71">
        <f t="shared" si="211"/>
        <v>0</v>
      </c>
      <c r="P418" s="71">
        <f t="shared" si="211"/>
        <v>0</v>
      </c>
      <c r="Q418" s="504"/>
      <c r="R418" s="49"/>
    </row>
    <row r="419" spans="2:18" hidden="1">
      <c r="B419" s="94" t="s">
        <v>533</v>
      </c>
      <c r="C419" s="200"/>
      <c r="D419" s="188"/>
      <c r="E419" s="205" t="str">
        <f>CONCATENATE(C408," and ",C415)</f>
        <v>Construct drains and Water management</v>
      </c>
      <c r="F419" s="72"/>
      <c r="G419" s="80">
        <f t="shared" ref="G419:P419" si="212">G414+G418</f>
        <v>0</v>
      </c>
      <c r="H419" s="80">
        <f t="shared" si="212"/>
        <v>0</v>
      </c>
      <c r="I419" s="80">
        <f t="shared" si="212"/>
        <v>0</v>
      </c>
      <c r="J419" s="80">
        <f t="shared" si="212"/>
        <v>0</v>
      </c>
      <c r="K419" s="80">
        <f t="shared" si="212"/>
        <v>0</v>
      </c>
      <c r="L419" s="80">
        <f t="shared" si="212"/>
        <v>0</v>
      </c>
      <c r="M419" s="80">
        <f t="shared" si="212"/>
        <v>0</v>
      </c>
      <c r="N419" s="80">
        <f t="shared" si="212"/>
        <v>0</v>
      </c>
      <c r="O419" s="80">
        <f t="shared" si="212"/>
        <v>0</v>
      </c>
      <c r="P419" s="80">
        <f t="shared" si="212"/>
        <v>0</v>
      </c>
      <c r="Q419" s="504"/>
      <c r="R419" s="49"/>
    </row>
    <row r="420" spans="2:18" hidden="1">
      <c r="B420" s="154" t="s">
        <v>533</v>
      </c>
      <c r="C420" s="187" t="s">
        <v>296</v>
      </c>
      <c r="D420" s="119" t="str">
        <f t="shared" ref="D420" si="213">Growth_media</f>
        <v>Growth media</v>
      </c>
      <c r="E420" s="176" t="s">
        <v>623</v>
      </c>
      <c r="F420" s="28" t="s">
        <v>299</v>
      </c>
      <c r="G420" s="70">
        <f>G276+G277</f>
        <v>0</v>
      </c>
      <c r="H420" s="70">
        <f t="shared" ref="H420:P420" si="214">H276+H277</f>
        <v>0</v>
      </c>
      <c r="I420" s="70">
        <f t="shared" si="214"/>
        <v>0</v>
      </c>
      <c r="J420" s="70">
        <f t="shared" si="214"/>
        <v>0</v>
      </c>
      <c r="K420" s="70">
        <f t="shared" si="214"/>
        <v>0</v>
      </c>
      <c r="L420" s="70">
        <f t="shared" si="214"/>
        <v>0</v>
      </c>
      <c r="M420" s="70">
        <f t="shared" si="214"/>
        <v>0</v>
      </c>
      <c r="N420" s="70">
        <f t="shared" si="214"/>
        <v>0</v>
      </c>
      <c r="O420" s="70">
        <f t="shared" si="214"/>
        <v>0</v>
      </c>
      <c r="P420" s="70">
        <f t="shared" si="214"/>
        <v>0</v>
      </c>
      <c r="Q420" s="504"/>
      <c r="R420" s="55"/>
    </row>
    <row r="421" spans="2:18" hidden="1">
      <c r="B421" s="154" t="s">
        <v>533</v>
      </c>
      <c r="C421" s="183"/>
      <c r="D421" s="160"/>
      <c r="E421" s="176" t="s">
        <v>624</v>
      </c>
      <c r="F421" s="28" t="s">
        <v>299</v>
      </c>
      <c r="G421" s="411"/>
      <c r="H421" s="411"/>
      <c r="I421" s="411"/>
      <c r="J421" s="411"/>
      <c r="K421" s="411"/>
      <c r="L421" s="411"/>
      <c r="M421" s="411"/>
      <c r="N421" s="411"/>
      <c r="O421" s="411"/>
      <c r="P421" s="411"/>
      <c r="Q421" s="504"/>
      <c r="R421" s="55"/>
    </row>
    <row r="422" spans="2:18" hidden="1">
      <c r="B422" s="154" t="s">
        <v>533</v>
      </c>
      <c r="C422" s="183"/>
      <c r="D422" s="160"/>
      <c r="E422" s="176" t="s">
        <v>625</v>
      </c>
      <c r="F422" s="28" t="s">
        <v>299</v>
      </c>
      <c r="G422" s="70">
        <f>IF(G421="",G420,G421)</f>
        <v>0</v>
      </c>
      <c r="H422" s="70">
        <f t="shared" ref="H422:P422" si="215">IF(H421="",H420,H421)</f>
        <v>0</v>
      </c>
      <c r="I422" s="70">
        <f t="shared" si="215"/>
        <v>0</v>
      </c>
      <c r="J422" s="70">
        <f t="shared" si="215"/>
        <v>0</v>
      </c>
      <c r="K422" s="70">
        <f t="shared" si="215"/>
        <v>0</v>
      </c>
      <c r="L422" s="70">
        <f t="shared" si="215"/>
        <v>0</v>
      </c>
      <c r="M422" s="70">
        <f t="shared" si="215"/>
        <v>0</v>
      </c>
      <c r="N422" s="70">
        <f t="shared" si="215"/>
        <v>0</v>
      </c>
      <c r="O422" s="70">
        <f t="shared" si="215"/>
        <v>0</v>
      </c>
      <c r="P422" s="70">
        <f t="shared" si="215"/>
        <v>0</v>
      </c>
      <c r="Q422" s="504"/>
      <c r="R422" s="55"/>
    </row>
    <row r="423" spans="2:18" hidden="1">
      <c r="B423" s="154" t="s">
        <v>533</v>
      </c>
      <c r="C423" s="183"/>
      <c r="D423" s="160"/>
      <c r="E423" s="176" t="s">
        <v>304</v>
      </c>
      <c r="F423" s="28" t="s">
        <v>211</v>
      </c>
      <c r="G423" s="70">
        <f t="shared" ref="G423:P423" si="216">Haul_roads_track_rail_growth_media_thickness/Conv_mm_in_metres</f>
        <v>0.15</v>
      </c>
      <c r="H423" s="70">
        <f t="shared" si="216"/>
        <v>0.15</v>
      </c>
      <c r="I423" s="70">
        <f t="shared" si="216"/>
        <v>0.15</v>
      </c>
      <c r="J423" s="70">
        <f t="shared" si="216"/>
        <v>0.15</v>
      </c>
      <c r="K423" s="70">
        <f t="shared" si="216"/>
        <v>0.15</v>
      </c>
      <c r="L423" s="70">
        <f t="shared" si="216"/>
        <v>0.15</v>
      </c>
      <c r="M423" s="70">
        <f t="shared" si="216"/>
        <v>0.15</v>
      </c>
      <c r="N423" s="70">
        <f t="shared" si="216"/>
        <v>0.15</v>
      </c>
      <c r="O423" s="70">
        <f t="shared" si="216"/>
        <v>0.15</v>
      </c>
      <c r="P423" s="70">
        <f t="shared" si="216"/>
        <v>0.15</v>
      </c>
      <c r="Q423" s="504"/>
      <c r="R423" s="49"/>
    </row>
    <row r="424" spans="2:18" hidden="1">
      <c r="B424" s="154" t="s">
        <v>533</v>
      </c>
      <c r="C424" s="183"/>
      <c r="D424" s="160"/>
      <c r="E424" s="176" t="s">
        <v>305</v>
      </c>
      <c r="F424" s="28" t="s">
        <v>211</v>
      </c>
      <c r="G424" s="411"/>
      <c r="H424" s="411"/>
      <c r="I424" s="411"/>
      <c r="J424" s="411"/>
      <c r="K424" s="411"/>
      <c r="L424" s="411"/>
      <c r="M424" s="411"/>
      <c r="N424" s="411"/>
      <c r="O424" s="411"/>
      <c r="P424" s="411"/>
      <c r="Q424" s="504"/>
      <c r="R424" s="49"/>
    </row>
    <row r="425" spans="2:18" hidden="1">
      <c r="B425" s="154" t="s">
        <v>533</v>
      </c>
      <c r="C425" s="183"/>
      <c r="D425" s="160"/>
      <c r="E425" s="176" t="s">
        <v>306</v>
      </c>
      <c r="F425" s="28" t="s">
        <v>211</v>
      </c>
      <c r="G425" s="70">
        <f>IF(G424="",G423,G424)</f>
        <v>0.15</v>
      </c>
      <c r="H425" s="70">
        <f t="shared" ref="H425:P425" si="217">IF(H424="",H423,H424)</f>
        <v>0.15</v>
      </c>
      <c r="I425" s="70">
        <f t="shared" si="217"/>
        <v>0.15</v>
      </c>
      <c r="J425" s="70">
        <f t="shared" si="217"/>
        <v>0.15</v>
      </c>
      <c r="K425" s="70">
        <f t="shared" si="217"/>
        <v>0.15</v>
      </c>
      <c r="L425" s="70">
        <f t="shared" si="217"/>
        <v>0.15</v>
      </c>
      <c r="M425" s="70">
        <f t="shared" si="217"/>
        <v>0.15</v>
      </c>
      <c r="N425" s="70">
        <f t="shared" si="217"/>
        <v>0.15</v>
      </c>
      <c r="O425" s="70">
        <f t="shared" si="217"/>
        <v>0.15</v>
      </c>
      <c r="P425" s="70">
        <f t="shared" si="217"/>
        <v>0.15</v>
      </c>
      <c r="Q425" s="504"/>
      <c r="R425" s="49"/>
    </row>
    <row r="426" spans="2:18" hidden="1">
      <c r="B426" s="154" t="s">
        <v>533</v>
      </c>
      <c r="C426" s="183"/>
      <c r="D426" s="160"/>
      <c r="E426" s="176" t="s">
        <v>307</v>
      </c>
      <c r="F426" s="28" t="s">
        <v>219</v>
      </c>
      <c r="G426" s="58">
        <f t="shared" ref="G426:P426" si="218">G422*Conv_sqm_ha*G425</f>
        <v>0</v>
      </c>
      <c r="H426" s="58">
        <f t="shared" si="218"/>
        <v>0</v>
      </c>
      <c r="I426" s="58">
        <f t="shared" si="218"/>
        <v>0</v>
      </c>
      <c r="J426" s="58">
        <f t="shared" si="218"/>
        <v>0</v>
      </c>
      <c r="K426" s="58">
        <f t="shared" si="218"/>
        <v>0</v>
      </c>
      <c r="L426" s="58">
        <f t="shared" si="218"/>
        <v>0</v>
      </c>
      <c r="M426" s="58">
        <f t="shared" si="218"/>
        <v>0</v>
      </c>
      <c r="N426" s="58">
        <f t="shared" si="218"/>
        <v>0</v>
      </c>
      <c r="O426" s="58">
        <f t="shared" si="218"/>
        <v>0</v>
      </c>
      <c r="P426" s="58">
        <f t="shared" si="218"/>
        <v>0</v>
      </c>
      <c r="Q426" s="504"/>
      <c r="R426" s="55"/>
    </row>
    <row r="427" spans="2:18" hidden="1">
      <c r="B427" s="154" t="s">
        <v>533</v>
      </c>
      <c r="C427" s="183"/>
      <c r="D427" s="160"/>
      <c r="E427" s="176" t="s">
        <v>539</v>
      </c>
      <c r="F427" s="28" t="s">
        <v>219</v>
      </c>
      <c r="G427" s="463"/>
      <c r="H427" s="463"/>
      <c r="I427" s="463"/>
      <c r="J427" s="463"/>
      <c r="K427" s="463"/>
      <c r="L427" s="463"/>
      <c r="M427" s="463"/>
      <c r="N427" s="463"/>
      <c r="O427" s="463"/>
      <c r="P427" s="463"/>
      <c r="Q427" s="504"/>
      <c r="R427" s="55"/>
    </row>
    <row r="428" spans="2:18" hidden="1">
      <c r="B428" s="154" t="s">
        <v>533</v>
      </c>
      <c r="C428" s="183"/>
      <c r="D428" s="160"/>
      <c r="E428" s="176" t="s">
        <v>540</v>
      </c>
      <c r="F428" s="28" t="s">
        <v>219</v>
      </c>
      <c r="G428" s="58">
        <f>G426-G427</f>
        <v>0</v>
      </c>
      <c r="H428" s="58">
        <f t="shared" ref="H428:P428" si="219">H426-H427</f>
        <v>0</v>
      </c>
      <c r="I428" s="58">
        <f t="shared" si="219"/>
        <v>0</v>
      </c>
      <c r="J428" s="58">
        <f t="shared" si="219"/>
        <v>0</v>
      </c>
      <c r="K428" s="58">
        <f t="shared" si="219"/>
        <v>0</v>
      </c>
      <c r="L428" s="58">
        <f t="shared" si="219"/>
        <v>0</v>
      </c>
      <c r="M428" s="58">
        <f t="shared" si="219"/>
        <v>0</v>
      </c>
      <c r="N428" s="58">
        <f t="shared" si="219"/>
        <v>0</v>
      </c>
      <c r="O428" s="58">
        <f t="shared" si="219"/>
        <v>0</v>
      </c>
      <c r="P428" s="58">
        <f t="shared" si="219"/>
        <v>0</v>
      </c>
      <c r="Q428" s="504"/>
      <c r="R428" s="55"/>
    </row>
    <row r="429" spans="2:18" hidden="1">
      <c r="B429" s="154" t="s">
        <v>533</v>
      </c>
      <c r="C429" s="181" t="s">
        <v>541</v>
      </c>
      <c r="D429" s="119" t="s">
        <v>542</v>
      </c>
      <c r="E429" s="176" t="s">
        <v>543</v>
      </c>
      <c r="F429" s="28" t="s">
        <v>123</v>
      </c>
      <c r="G429" s="412" t="s">
        <v>233</v>
      </c>
      <c r="H429" s="412" t="s">
        <v>233</v>
      </c>
      <c r="I429" s="412" t="s">
        <v>233</v>
      </c>
      <c r="J429" s="412" t="s">
        <v>233</v>
      </c>
      <c r="K429" s="412" t="s">
        <v>233</v>
      </c>
      <c r="L429" s="412" t="s">
        <v>233</v>
      </c>
      <c r="M429" s="412" t="s">
        <v>233</v>
      </c>
      <c r="N429" s="412" t="s">
        <v>233</v>
      </c>
      <c r="O429" s="412" t="s">
        <v>233</v>
      </c>
      <c r="P429" s="412" t="s">
        <v>233</v>
      </c>
      <c r="Q429" s="504"/>
      <c r="R429" s="55"/>
    </row>
    <row r="430" spans="2:18" hidden="1">
      <c r="B430" s="154" t="s">
        <v>533</v>
      </c>
      <c r="C430" s="183"/>
      <c r="D430" s="160"/>
      <c r="E430" s="176" t="s">
        <v>546</v>
      </c>
      <c r="F430" s="28" t="s">
        <v>253</v>
      </c>
      <c r="G430" s="54">
        <f t="shared" ref="G430:P430" si="220">_xlfn.XLOOKUP(G429,Long_haul_soil_amend_names_volume_CS,Long_haul_soil_amend_rates_volume_CS)</f>
        <v>0.18641557835380454</v>
      </c>
      <c r="H430" s="54">
        <f t="shared" si="220"/>
        <v>0.18641557835380454</v>
      </c>
      <c r="I430" s="54">
        <f t="shared" si="220"/>
        <v>0.18641557835380454</v>
      </c>
      <c r="J430" s="54">
        <f t="shared" si="220"/>
        <v>0.18641557835380454</v>
      </c>
      <c r="K430" s="54">
        <f t="shared" si="220"/>
        <v>0.18641557835380454</v>
      </c>
      <c r="L430" s="54">
        <f t="shared" si="220"/>
        <v>0.18641557835380454</v>
      </c>
      <c r="M430" s="54">
        <f t="shared" si="220"/>
        <v>0.18641557835380454</v>
      </c>
      <c r="N430" s="54">
        <f t="shared" si="220"/>
        <v>0.18641557835380454</v>
      </c>
      <c r="O430" s="54">
        <f t="shared" si="220"/>
        <v>0.18641557835380454</v>
      </c>
      <c r="P430" s="54">
        <f t="shared" si="220"/>
        <v>0.18641557835380454</v>
      </c>
      <c r="Q430" s="504"/>
      <c r="R430" s="55"/>
    </row>
    <row r="431" spans="2:18" ht="22.5" hidden="1">
      <c r="B431" s="154" t="s">
        <v>533</v>
      </c>
      <c r="C431" s="183"/>
      <c r="D431" s="160"/>
      <c r="E431" s="182" t="s">
        <v>547</v>
      </c>
      <c r="F431" s="28" t="s">
        <v>253</v>
      </c>
      <c r="G431" s="414"/>
      <c r="H431" s="414"/>
      <c r="I431" s="414"/>
      <c r="J431" s="414"/>
      <c r="K431" s="414"/>
      <c r="L431" s="414"/>
      <c r="M431" s="414"/>
      <c r="N431" s="414"/>
      <c r="O431" s="414"/>
      <c r="P431" s="414"/>
      <c r="Q431" s="504"/>
      <c r="R431" s="55"/>
    </row>
    <row r="432" spans="2:18" hidden="1">
      <c r="B432" s="154" t="s">
        <v>533</v>
      </c>
      <c r="C432" s="183"/>
      <c r="D432" s="160"/>
      <c r="E432" s="176" t="s">
        <v>548</v>
      </c>
      <c r="F432" s="28" t="s">
        <v>207</v>
      </c>
      <c r="G432" s="71">
        <f t="shared" ref="G432:P432" si="221">IF(G431="",G430,G431)*G428*_xlfn.XLOOKUP(G429,Long_haul_distance_names_L,Long_haul_distances_average_L)</f>
        <v>0</v>
      </c>
      <c r="H432" s="71">
        <f t="shared" si="221"/>
        <v>0</v>
      </c>
      <c r="I432" s="71">
        <f t="shared" si="221"/>
        <v>0</v>
      </c>
      <c r="J432" s="71">
        <f t="shared" si="221"/>
        <v>0</v>
      </c>
      <c r="K432" s="71">
        <f t="shared" si="221"/>
        <v>0</v>
      </c>
      <c r="L432" s="71">
        <f t="shared" si="221"/>
        <v>0</v>
      </c>
      <c r="M432" s="71">
        <f t="shared" si="221"/>
        <v>0</v>
      </c>
      <c r="N432" s="71">
        <f t="shared" si="221"/>
        <v>0</v>
      </c>
      <c r="O432" s="71">
        <f t="shared" si="221"/>
        <v>0</v>
      </c>
      <c r="P432" s="71">
        <f t="shared" si="221"/>
        <v>0</v>
      </c>
      <c r="Q432" s="504"/>
      <c r="R432" s="55"/>
    </row>
    <row r="433" spans="2:18" hidden="1">
      <c r="B433" s="154" t="s">
        <v>533</v>
      </c>
      <c r="C433" s="183"/>
      <c r="D433" s="160"/>
      <c r="E433" s="176" t="s">
        <v>311</v>
      </c>
      <c r="F433" s="28" t="s">
        <v>123</v>
      </c>
      <c r="G433" s="412" t="s">
        <v>549</v>
      </c>
      <c r="H433" s="412" t="s">
        <v>549</v>
      </c>
      <c r="I433" s="412" t="s">
        <v>549</v>
      </c>
      <c r="J433" s="412" t="s">
        <v>549</v>
      </c>
      <c r="K433" s="412" t="s">
        <v>549</v>
      </c>
      <c r="L433" s="412" t="s">
        <v>549</v>
      </c>
      <c r="M433" s="412" t="s">
        <v>549</v>
      </c>
      <c r="N433" s="412" t="s">
        <v>549</v>
      </c>
      <c r="O433" s="412" t="s">
        <v>549</v>
      </c>
      <c r="P433" s="412" t="s">
        <v>549</v>
      </c>
      <c r="Q433" s="504"/>
      <c r="R433" s="55"/>
    </row>
    <row r="434" spans="2:18" hidden="1">
      <c r="B434" s="154" t="s">
        <v>533</v>
      </c>
      <c r="C434" s="183"/>
      <c r="D434" s="160"/>
      <c r="E434" s="176" t="s">
        <v>551</v>
      </c>
      <c r="F434" s="28" t="s">
        <v>241</v>
      </c>
      <c r="G434" s="54">
        <f t="shared" ref="G434:P434" si="222">IF(G433=Growth_media,Growth_media_purchase_rate*Growth_media_soil_density,VENM_backfill_buy_R)</f>
        <v>128.79999999999998</v>
      </c>
      <c r="H434" s="54">
        <f t="shared" si="222"/>
        <v>128.79999999999998</v>
      </c>
      <c r="I434" s="54">
        <f t="shared" si="222"/>
        <v>128.79999999999998</v>
      </c>
      <c r="J434" s="54">
        <f t="shared" si="222"/>
        <v>128.79999999999998</v>
      </c>
      <c r="K434" s="54">
        <f t="shared" si="222"/>
        <v>128.79999999999998</v>
      </c>
      <c r="L434" s="54">
        <f t="shared" si="222"/>
        <v>128.79999999999998</v>
      </c>
      <c r="M434" s="54">
        <f t="shared" si="222"/>
        <v>128.79999999999998</v>
      </c>
      <c r="N434" s="54">
        <f t="shared" si="222"/>
        <v>128.79999999999998</v>
      </c>
      <c r="O434" s="54">
        <f t="shared" si="222"/>
        <v>128.79999999999998</v>
      </c>
      <c r="P434" s="54">
        <f t="shared" si="222"/>
        <v>128.79999999999998</v>
      </c>
      <c r="Q434" s="504"/>
      <c r="R434" s="55"/>
    </row>
    <row r="435" spans="2:18" ht="22.5" hidden="1">
      <c r="B435" s="154" t="s">
        <v>533</v>
      </c>
      <c r="C435" s="183"/>
      <c r="D435" s="160"/>
      <c r="E435" s="182" t="s">
        <v>552</v>
      </c>
      <c r="F435" s="28" t="s">
        <v>241</v>
      </c>
      <c r="G435" s="414"/>
      <c r="H435" s="414"/>
      <c r="I435" s="414"/>
      <c r="J435" s="414"/>
      <c r="K435" s="414"/>
      <c r="L435" s="414"/>
      <c r="M435" s="414"/>
      <c r="N435" s="414"/>
      <c r="O435" s="414"/>
      <c r="P435" s="414"/>
      <c r="Q435" s="504"/>
      <c r="R435" s="49"/>
    </row>
    <row r="436" spans="2:18" hidden="1">
      <c r="B436" s="154" t="s">
        <v>533</v>
      </c>
      <c r="C436" s="183"/>
      <c r="D436" s="160"/>
      <c r="E436" s="176" t="s">
        <v>548</v>
      </c>
      <c r="F436" s="28" t="s">
        <v>207</v>
      </c>
      <c r="G436" s="71">
        <f>IF(G435="",G434,G435)*G428</f>
        <v>0</v>
      </c>
      <c r="H436" s="71">
        <f t="shared" ref="H436:P436" si="223">IF(H435="",H434,H435)*H428</f>
        <v>0</v>
      </c>
      <c r="I436" s="71">
        <f t="shared" si="223"/>
        <v>0</v>
      </c>
      <c r="J436" s="71">
        <f t="shared" si="223"/>
        <v>0</v>
      </c>
      <c r="K436" s="71">
        <f t="shared" si="223"/>
        <v>0</v>
      </c>
      <c r="L436" s="71">
        <f t="shared" si="223"/>
        <v>0</v>
      </c>
      <c r="M436" s="71">
        <f t="shared" si="223"/>
        <v>0</v>
      </c>
      <c r="N436" s="71">
        <f t="shared" si="223"/>
        <v>0</v>
      </c>
      <c r="O436" s="71">
        <f t="shared" si="223"/>
        <v>0</v>
      </c>
      <c r="P436" s="71">
        <f t="shared" si="223"/>
        <v>0</v>
      </c>
      <c r="Q436" s="504"/>
      <c r="R436" s="55"/>
    </row>
    <row r="437" spans="2:18" ht="33.75" hidden="1">
      <c r="B437" s="154" t="s">
        <v>533</v>
      </c>
      <c r="C437" s="181" t="s">
        <v>541</v>
      </c>
      <c r="D437" s="119" t="s">
        <v>553</v>
      </c>
      <c r="E437" s="208" t="s">
        <v>554</v>
      </c>
      <c r="F437" s="28" t="s">
        <v>123</v>
      </c>
      <c r="G437" s="461" t="s">
        <v>555</v>
      </c>
      <c r="H437" s="461" t="s">
        <v>555</v>
      </c>
      <c r="I437" s="461" t="s">
        <v>555</v>
      </c>
      <c r="J437" s="461" t="s">
        <v>555</v>
      </c>
      <c r="K437" s="461" t="s">
        <v>555</v>
      </c>
      <c r="L437" s="461" t="s">
        <v>555</v>
      </c>
      <c r="M437" s="461" t="s">
        <v>555</v>
      </c>
      <c r="N437" s="461" t="s">
        <v>555</v>
      </c>
      <c r="O437" s="461" t="s">
        <v>555</v>
      </c>
      <c r="P437" s="461" t="s">
        <v>555</v>
      </c>
      <c r="Q437" s="504"/>
      <c r="R437" s="49"/>
    </row>
    <row r="438" spans="2:18" hidden="1">
      <c r="B438" s="154" t="s">
        <v>533</v>
      </c>
      <c r="C438" s="183"/>
      <c r="D438" s="160"/>
      <c r="E438" s="176" t="s">
        <v>227</v>
      </c>
      <c r="F438" s="28" t="s">
        <v>241</v>
      </c>
      <c r="G438" s="54">
        <f t="shared" ref="G438:P438" si="224">_xlfn.XLOOKUP(G437,Load_haul_soil_names_CS,Load_haul_soil_rates_CS)</f>
        <v>5.5737090155748836</v>
      </c>
      <c r="H438" s="54">
        <f t="shared" si="224"/>
        <v>5.5737090155748836</v>
      </c>
      <c r="I438" s="54">
        <f t="shared" si="224"/>
        <v>5.5737090155748836</v>
      </c>
      <c r="J438" s="54">
        <f t="shared" si="224"/>
        <v>5.5737090155748836</v>
      </c>
      <c r="K438" s="54">
        <f t="shared" si="224"/>
        <v>5.5737090155748836</v>
      </c>
      <c r="L438" s="54">
        <f t="shared" si="224"/>
        <v>5.5737090155748836</v>
      </c>
      <c r="M438" s="54">
        <f t="shared" si="224"/>
        <v>5.5737090155748836</v>
      </c>
      <c r="N438" s="54">
        <f t="shared" si="224"/>
        <v>5.5737090155748836</v>
      </c>
      <c r="O438" s="54">
        <f t="shared" si="224"/>
        <v>5.5737090155748836</v>
      </c>
      <c r="P438" s="54">
        <f t="shared" si="224"/>
        <v>5.5737090155748836</v>
      </c>
      <c r="Q438" s="504"/>
      <c r="R438" s="55"/>
    </row>
    <row r="439" spans="2:18" hidden="1">
      <c r="B439" s="154" t="s">
        <v>533</v>
      </c>
      <c r="C439" s="183"/>
      <c r="D439" s="160"/>
      <c r="E439" s="180" t="s">
        <v>229</v>
      </c>
      <c r="F439" s="28" t="s">
        <v>241</v>
      </c>
      <c r="G439" s="414"/>
      <c r="H439" s="414"/>
      <c r="I439" s="414"/>
      <c r="J439" s="414"/>
      <c r="K439" s="414"/>
      <c r="L439" s="414"/>
      <c r="M439" s="414"/>
      <c r="N439" s="414"/>
      <c r="O439" s="414"/>
      <c r="P439" s="414"/>
      <c r="Q439" s="504"/>
      <c r="R439" s="49"/>
    </row>
    <row r="440" spans="2:18" hidden="1">
      <c r="B440" s="154" t="s">
        <v>533</v>
      </c>
      <c r="C440" s="183"/>
      <c r="D440" s="160"/>
      <c r="E440" s="176" t="s">
        <v>146</v>
      </c>
      <c r="F440" s="28" t="s">
        <v>207</v>
      </c>
      <c r="G440" s="127">
        <f t="shared" ref="G440:P440" si="225">IF(G439="",G438,G439)*G426</f>
        <v>0</v>
      </c>
      <c r="H440" s="127">
        <f t="shared" si="225"/>
        <v>0</v>
      </c>
      <c r="I440" s="127">
        <f t="shared" si="225"/>
        <v>0</v>
      </c>
      <c r="J440" s="127">
        <f t="shared" si="225"/>
        <v>0</v>
      </c>
      <c r="K440" s="127">
        <f t="shared" si="225"/>
        <v>0</v>
      </c>
      <c r="L440" s="127">
        <f t="shared" si="225"/>
        <v>0</v>
      </c>
      <c r="M440" s="127">
        <f t="shared" si="225"/>
        <v>0</v>
      </c>
      <c r="N440" s="127">
        <f t="shared" si="225"/>
        <v>0</v>
      </c>
      <c r="O440" s="127">
        <f t="shared" si="225"/>
        <v>0</v>
      </c>
      <c r="P440" s="127">
        <f t="shared" si="225"/>
        <v>0</v>
      </c>
      <c r="Q440" s="504"/>
      <c r="R440" s="49"/>
    </row>
    <row r="441" spans="2:18" hidden="1">
      <c r="B441" s="94" t="s">
        <v>533</v>
      </c>
      <c r="C441" s="200"/>
      <c r="D441" s="188"/>
      <c r="E441" s="205" t="str">
        <f>C420</f>
        <v>Source and apply growth media</v>
      </c>
      <c r="F441" s="72"/>
      <c r="G441" s="80">
        <f>G432+G436+G440</f>
        <v>0</v>
      </c>
      <c r="H441" s="80">
        <f t="shared" ref="H441:P441" si="226">H432+H436+H440</f>
        <v>0</v>
      </c>
      <c r="I441" s="80">
        <f t="shared" si="226"/>
        <v>0</v>
      </c>
      <c r="J441" s="80">
        <f t="shared" si="226"/>
        <v>0</v>
      </c>
      <c r="K441" s="80">
        <f t="shared" si="226"/>
        <v>0</v>
      </c>
      <c r="L441" s="80">
        <f t="shared" si="226"/>
        <v>0</v>
      </c>
      <c r="M441" s="80">
        <f t="shared" si="226"/>
        <v>0</v>
      </c>
      <c r="N441" s="80">
        <f t="shared" si="226"/>
        <v>0</v>
      </c>
      <c r="O441" s="80">
        <f t="shared" si="226"/>
        <v>0</v>
      </c>
      <c r="P441" s="80">
        <f t="shared" si="226"/>
        <v>0</v>
      </c>
      <c r="Q441" s="504"/>
      <c r="R441" s="49"/>
    </row>
    <row r="442" spans="2:18" hidden="1">
      <c r="B442" s="94" t="s">
        <v>533</v>
      </c>
      <c r="C442" s="187" t="s">
        <v>310</v>
      </c>
      <c r="D442" s="119" t="str">
        <f t="shared" ref="D442" si="227">Ameliorants</f>
        <v>Ameliorants</v>
      </c>
      <c r="E442" s="176" t="s">
        <v>623</v>
      </c>
      <c r="F442" s="28" t="s">
        <v>299</v>
      </c>
      <c r="G442" s="78">
        <f>G$276</f>
        <v>0</v>
      </c>
      <c r="H442" s="78">
        <f t="shared" ref="H442:P442" si="228">H$276</f>
        <v>0</v>
      </c>
      <c r="I442" s="78">
        <f t="shared" si="228"/>
        <v>0</v>
      </c>
      <c r="J442" s="78">
        <f t="shared" si="228"/>
        <v>0</v>
      </c>
      <c r="K442" s="78">
        <f t="shared" si="228"/>
        <v>0</v>
      </c>
      <c r="L442" s="78">
        <f t="shared" si="228"/>
        <v>0</v>
      </c>
      <c r="M442" s="78">
        <f t="shared" si="228"/>
        <v>0</v>
      </c>
      <c r="N442" s="78">
        <f t="shared" si="228"/>
        <v>0</v>
      </c>
      <c r="O442" s="78">
        <f t="shared" si="228"/>
        <v>0</v>
      </c>
      <c r="P442" s="78">
        <f t="shared" si="228"/>
        <v>0</v>
      </c>
      <c r="Q442" s="504"/>
      <c r="R442" s="55"/>
    </row>
    <row r="443" spans="2:18" hidden="1">
      <c r="B443" s="94" t="s">
        <v>533</v>
      </c>
      <c r="C443" s="183"/>
      <c r="D443" s="160"/>
      <c r="E443" s="176" t="s">
        <v>624</v>
      </c>
      <c r="F443" s="28" t="s">
        <v>299</v>
      </c>
      <c r="G443" s="515">
        <v>0</v>
      </c>
      <c r="H443" s="515">
        <v>0</v>
      </c>
      <c r="I443" s="515">
        <v>0</v>
      </c>
      <c r="J443" s="515">
        <v>0</v>
      </c>
      <c r="K443" s="515">
        <v>0</v>
      </c>
      <c r="L443" s="515">
        <v>0</v>
      </c>
      <c r="M443" s="515">
        <v>0</v>
      </c>
      <c r="N443" s="515">
        <v>0</v>
      </c>
      <c r="O443" s="515">
        <v>0</v>
      </c>
      <c r="P443" s="515">
        <v>0</v>
      </c>
      <c r="Q443" s="504"/>
      <c r="R443" s="49"/>
    </row>
    <row r="444" spans="2:18" hidden="1">
      <c r="B444" s="94" t="s">
        <v>533</v>
      </c>
      <c r="C444" s="183"/>
      <c r="D444" s="160"/>
      <c r="E444" s="176" t="s">
        <v>625</v>
      </c>
      <c r="F444" s="28" t="s">
        <v>299</v>
      </c>
      <c r="G444" s="78">
        <f t="shared" ref="G444:P444" si="229">IF(G443="",G442,G443)</f>
        <v>0</v>
      </c>
      <c r="H444" s="78">
        <f t="shared" si="229"/>
        <v>0</v>
      </c>
      <c r="I444" s="78">
        <f t="shared" si="229"/>
        <v>0</v>
      </c>
      <c r="J444" s="78">
        <f t="shared" si="229"/>
        <v>0</v>
      </c>
      <c r="K444" s="78">
        <f t="shared" si="229"/>
        <v>0</v>
      </c>
      <c r="L444" s="78">
        <f t="shared" si="229"/>
        <v>0</v>
      </c>
      <c r="M444" s="78">
        <f t="shared" si="229"/>
        <v>0</v>
      </c>
      <c r="N444" s="78">
        <f t="shared" si="229"/>
        <v>0</v>
      </c>
      <c r="O444" s="78">
        <f t="shared" si="229"/>
        <v>0</v>
      </c>
      <c r="P444" s="78">
        <f t="shared" si="229"/>
        <v>0</v>
      </c>
      <c r="Q444" s="504"/>
      <c r="R444" s="55"/>
    </row>
    <row r="445" spans="2:18" ht="22.5" hidden="1">
      <c r="B445" s="94" t="s">
        <v>533</v>
      </c>
      <c r="C445" s="183"/>
      <c r="D445" s="160"/>
      <c r="E445" s="176" t="s">
        <v>311</v>
      </c>
      <c r="F445" s="28" t="s">
        <v>123</v>
      </c>
      <c r="G445" s="461" t="s">
        <v>315</v>
      </c>
      <c r="H445" s="461" t="s">
        <v>312</v>
      </c>
      <c r="I445" s="461" t="s">
        <v>312</v>
      </c>
      <c r="J445" s="461" t="s">
        <v>312</v>
      </c>
      <c r="K445" s="461" t="s">
        <v>312</v>
      </c>
      <c r="L445" s="461" t="s">
        <v>312</v>
      </c>
      <c r="M445" s="461" t="s">
        <v>312</v>
      </c>
      <c r="N445" s="461" t="s">
        <v>312</v>
      </c>
      <c r="O445" s="461" t="s">
        <v>312</v>
      </c>
      <c r="P445" s="461" t="s">
        <v>313</v>
      </c>
      <c r="Q445" s="504"/>
      <c r="R445" s="49"/>
    </row>
    <row r="446" spans="2:18" hidden="1">
      <c r="B446" s="94" t="s">
        <v>533</v>
      </c>
      <c r="C446" s="183"/>
      <c r="D446" s="160"/>
      <c r="E446" s="176" t="s">
        <v>320</v>
      </c>
      <c r="F446" s="28" t="s">
        <v>321</v>
      </c>
      <c r="G446" s="78">
        <f>_xlfn.XLOOKUP(G445,'Assumptions - General'!$B$5:$B$14,'Assumptions - General'!$C$5:$C$14)</f>
        <v>10</v>
      </c>
      <c r="H446" s="78">
        <f>_xlfn.XLOOKUP(H445,'Assumptions - General'!$B$5:$B$14,'Assumptions - General'!$C$5:$C$14)</f>
        <v>2.5</v>
      </c>
      <c r="I446" s="78">
        <f>_xlfn.XLOOKUP(I445,'Assumptions - General'!$B$5:$B$14,'Assumptions - General'!$C$5:$C$14)</f>
        <v>2.5</v>
      </c>
      <c r="J446" s="78">
        <f>_xlfn.XLOOKUP(J445,'Assumptions - General'!$B$5:$B$14,'Assumptions - General'!$C$5:$C$14)</f>
        <v>2.5</v>
      </c>
      <c r="K446" s="78">
        <f>_xlfn.XLOOKUP(K445,'Assumptions - General'!$B$5:$B$14,'Assumptions - General'!$C$5:$C$14)</f>
        <v>2.5</v>
      </c>
      <c r="L446" s="78">
        <f>_xlfn.XLOOKUP(L445,'Assumptions - General'!$B$5:$B$14,'Assumptions - General'!$C$5:$C$14)</f>
        <v>2.5</v>
      </c>
      <c r="M446" s="78">
        <f>_xlfn.XLOOKUP(M445,'Assumptions - General'!$B$5:$B$14,'Assumptions - General'!$C$5:$C$14)</f>
        <v>2.5</v>
      </c>
      <c r="N446" s="78">
        <f>_xlfn.XLOOKUP(N445,'Assumptions - General'!$B$5:$B$14,'Assumptions - General'!$C$5:$C$14)</f>
        <v>2.5</v>
      </c>
      <c r="O446" s="78">
        <f>_xlfn.XLOOKUP(O445,'Assumptions - General'!$B$5:$B$14,'Assumptions - General'!$C$5:$C$14)</f>
        <v>2.5</v>
      </c>
      <c r="P446" s="78">
        <f>_xlfn.XLOOKUP(P445,'Assumptions - General'!$B$5:$B$14,'Assumptions - General'!$C$5:$C$14)</f>
        <v>2</v>
      </c>
      <c r="Q446" s="504"/>
      <c r="R446" s="55"/>
    </row>
    <row r="447" spans="2:18" hidden="1">
      <c r="B447" s="94" t="s">
        <v>533</v>
      </c>
      <c r="C447" s="185"/>
      <c r="D447" s="160"/>
      <c r="E447" s="176" t="s">
        <v>322</v>
      </c>
      <c r="F447" s="28" t="s">
        <v>221</v>
      </c>
      <c r="G447" s="78">
        <f t="shared" ref="G447:P447" si="230">G444*G446</f>
        <v>0</v>
      </c>
      <c r="H447" s="78">
        <f t="shared" si="230"/>
        <v>0</v>
      </c>
      <c r="I447" s="78">
        <f t="shared" si="230"/>
        <v>0</v>
      </c>
      <c r="J447" s="78">
        <f t="shared" si="230"/>
        <v>0</v>
      </c>
      <c r="K447" s="78">
        <f t="shared" si="230"/>
        <v>0</v>
      </c>
      <c r="L447" s="78">
        <f t="shared" si="230"/>
        <v>0</v>
      </c>
      <c r="M447" s="78">
        <f t="shared" si="230"/>
        <v>0</v>
      </c>
      <c r="N447" s="78">
        <f t="shared" si="230"/>
        <v>0</v>
      </c>
      <c r="O447" s="78">
        <f t="shared" si="230"/>
        <v>0</v>
      </c>
      <c r="P447" s="78">
        <f t="shared" si="230"/>
        <v>0</v>
      </c>
      <c r="Q447" s="504"/>
      <c r="R447" s="55"/>
    </row>
    <row r="448" spans="2:18" hidden="1">
      <c r="B448" s="94" t="s">
        <v>533</v>
      </c>
      <c r="C448" s="181" t="s">
        <v>556</v>
      </c>
      <c r="D448" s="160"/>
      <c r="E448" s="176" t="s">
        <v>227</v>
      </c>
      <c r="F448" s="28" t="s">
        <v>228</v>
      </c>
      <c r="G448" s="54">
        <f t="shared" ref="G448:P448" si="231">_xlfn.XLOOKUP(G445,Rates_soil_seed_adds_names_R,Rates_soil_seed_adds_rates_R)</f>
        <v>114.5305286</v>
      </c>
      <c r="H448" s="54">
        <f t="shared" si="231"/>
        <v>47</v>
      </c>
      <c r="I448" s="54">
        <f t="shared" si="231"/>
        <v>47</v>
      </c>
      <c r="J448" s="54">
        <f t="shared" si="231"/>
        <v>47</v>
      </c>
      <c r="K448" s="54">
        <f t="shared" si="231"/>
        <v>47</v>
      </c>
      <c r="L448" s="54">
        <f t="shared" si="231"/>
        <v>47</v>
      </c>
      <c r="M448" s="54">
        <f t="shared" si="231"/>
        <v>47</v>
      </c>
      <c r="N448" s="54">
        <f t="shared" si="231"/>
        <v>47</v>
      </c>
      <c r="O448" s="54">
        <f t="shared" si="231"/>
        <v>47</v>
      </c>
      <c r="P448" s="54">
        <f t="shared" si="231"/>
        <v>77</v>
      </c>
      <c r="Q448" s="504"/>
      <c r="R448" s="55"/>
    </row>
    <row r="449" spans="2:18" hidden="1">
      <c r="B449" s="94" t="s">
        <v>533</v>
      </c>
      <c r="C449" s="183"/>
      <c r="D449" s="160"/>
      <c r="E449" s="180" t="s">
        <v>229</v>
      </c>
      <c r="F449" s="28" t="s">
        <v>228</v>
      </c>
      <c r="G449" s="414"/>
      <c r="H449" s="414"/>
      <c r="I449" s="414"/>
      <c r="J449" s="414"/>
      <c r="K449" s="414"/>
      <c r="L449" s="414"/>
      <c r="M449" s="414"/>
      <c r="N449" s="414"/>
      <c r="O449" s="414"/>
      <c r="P449" s="414"/>
      <c r="Q449" s="504"/>
      <c r="R449" s="49"/>
    </row>
    <row r="450" spans="2:18" hidden="1">
      <c r="B450" s="94" t="s">
        <v>533</v>
      </c>
      <c r="C450" s="185"/>
      <c r="D450" s="160"/>
      <c r="E450" s="176" t="s">
        <v>325</v>
      </c>
      <c r="F450" s="28" t="s">
        <v>207</v>
      </c>
      <c r="G450" s="73">
        <f t="shared" ref="G450:P450" si="232">IF(G449="",G448,G449)*G447</f>
        <v>0</v>
      </c>
      <c r="H450" s="73">
        <f t="shared" si="232"/>
        <v>0</v>
      </c>
      <c r="I450" s="73">
        <f t="shared" si="232"/>
        <v>0</v>
      </c>
      <c r="J450" s="73">
        <f t="shared" si="232"/>
        <v>0</v>
      </c>
      <c r="K450" s="73">
        <f t="shared" si="232"/>
        <v>0</v>
      </c>
      <c r="L450" s="73">
        <f t="shared" si="232"/>
        <v>0</v>
      </c>
      <c r="M450" s="73">
        <f t="shared" si="232"/>
        <v>0</v>
      </c>
      <c r="N450" s="73">
        <f t="shared" si="232"/>
        <v>0</v>
      </c>
      <c r="O450" s="73">
        <f t="shared" si="232"/>
        <v>0</v>
      </c>
      <c r="P450" s="73">
        <f t="shared" si="232"/>
        <v>0</v>
      </c>
      <c r="Q450" s="504"/>
      <c r="R450" s="49"/>
    </row>
    <row r="451" spans="2:18" ht="22.5" hidden="1">
      <c r="B451" s="94" t="s">
        <v>533</v>
      </c>
      <c r="C451" s="181" t="s">
        <v>557</v>
      </c>
      <c r="D451" s="160"/>
      <c r="E451" s="208" t="s">
        <v>558</v>
      </c>
      <c r="F451" s="28" t="s">
        <v>411</v>
      </c>
      <c r="G451" s="507" t="s">
        <v>233</v>
      </c>
      <c r="H451" s="507" t="s">
        <v>233</v>
      </c>
      <c r="I451" s="507" t="s">
        <v>233</v>
      </c>
      <c r="J451" s="507" t="s">
        <v>233</v>
      </c>
      <c r="K451" s="507" t="s">
        <v>233</v>
      </c>
      <c r="L451" s="507" t="s">
        <v>233</v>
      </c>
      <c r="M451" s="507" t="s">
        <v>233</v>
      </c>
      <c r="N451" s="507" t="s">
        <v>233</v>
      </c>
      <c r="O451" s="507" t="s">
        <v>233</v>
      </c>
      <c r="P451" s="507" t="s">
        <v>233</v>
      </c>
      <c r="Q451" s="504"/>
      <c r="R451" s="49"/>
    </row>
    <row r="452" spans="2:18" hidden="1">
      <c r="B452" s="94" t="s">
        <v>533</v>
      </c>
      <c r="C452" s="183"/>
      <c r="D452" s="160"/>
      <c r="E452" s="176" t="s">
        <v>826</v>
      </c>
      <c r="F452" s="28" t="s">
        <v>234</v>
      </c>
      <c r="G452" s="54">
        <f t="shared" ref="G452:P452" si="233">_xlfn.XLOOKUP(G451,Long_haul_soil_amend_names_mass_CS,Long_haul_soil_amend_rates_mass_CS)</f>
        <v>0.11650973647112783</v>
      </c>
      <c r="H452" s="54">
        <f t="shared" si="233"/>
        <v>0.11650973647112783</v>
      </c>
      <c r="I452" s="54">
        <f t="shared" si="233"/>
        <v>0.11650973647112783</v>
      </c>
      <c r="J452" s="54">
        <f t="shared" si="233"/>
        <v>0.11650973647112783</v>
      </c>
      <c r="K452" s="54">
        <f t="shared" si="233"/>
        <v>0.11650973647112783</v>
      </c>
      <c r="L452" s="54">
        <f t="shared" si="233"/>
        <v>0.11650973647112783</v>
      </c>
      <c r="M452" s="54">
        <f t="shared" si="233"/>
        <v>0.11650973647112783</v>
      </c>
      <c r="N452" s="54">
        <f t="shared" si="233"/>
        <v>0.11650973647112783</v>
      </c>
      <c r="O452" s="54">
        <f t="shared" si="233"/>
        <v>0.11650973647112783</v>
      </c>
      <c r="P452" s="54">
        <f t="shared" si="233"/>
        <v>0.11650973647112783</v>
      </c>
      <c r="Q452" s="504"/>
      <c r="R452" s="55"/>
    </row>
    <row r="453" spans="2:18" hidden="1">
      <c r="B453" s="94" t="s">
        <v>533</v>
      </c>
      <c r="C453" s="185"/>
      <c r="D453" s="160"/>
      <c r="E453" s="176" t="s">
        <v>146</v>
      </c>
      <c r="F453" s="28" t="s">
        <v>207</v>
      </c>
      <c r="G453" s="128">
        <f t="shared" ref="G453:P453" si="234">G447*_xlfn.XLOOKUP(G451,Long_haul_distance_names_L,Long_haul_distances_average_L)*G452</f>
        <v>0</v>
      </c>
      <c r="H453" s="128">
        <f t="shared" si="234"/>
        <v>0</v>
      </c>
      <c r="I453" s="128">
        <f t="shared" si="234"/>
        <v>0</v>
      </c>
      <c r="J453" s="128">
        <f t="shared" si="234"/>
        <v>0</v>
      </c>
      <c r="K453" s="128">
        <f t="shared" si="234"/>
        <v>0</v>
      </c>
      <c r="L453" s="128">
        <f t="shared" si="234"/>
        <v>0</v>
      </c>
      <c r="M453" s="128">
        <f t="shared" si="234"/>
        <v>0</v>
      </c>
      <c r="N453" s="128">
        <f t="shared" si="234"/>
        <v>0</v>
      </c>
      <c r="O453" s="128">
        <f t="shared" si="234"/>
        <v>0</v>
      </c>
      <c r="P453" s="128">
        <f t="shared" si="234"/>
        <v>0</v>
      </c>
      <c r="Q453" s="504"/>
      <c r="R453" s="49"/>
    </row>
    <row r="454" spans="2:18" hidden="1">
      <c r="B454" s="94" t="s">
        <v>533</v>
      </c>
      <c r="C454" s="181" t="s">
        <v>328</v>
      </c>
      <c r="D454" s="160"/>
      <c r="E454" s="180" t="s">
        <v>229</v>
      </c>
      <c r="F454" s="28" t="s">
        <v>329</v>
      </c>
      <c r="G454" s="414"/>
      <c r="H454" s="414"/>
      <c r="I454" s="414"/>
      <c r="J454" s="414"/>
      <c r="K454" s="414"/>
      <c r="L454" s="414"/>
      <c r="M454" s="414"/>
      <c r="N454" s="414"/>
      <c r="O454" s="414"/>
      <c r="P454" s="414"/>
      <c r="Q454" s="504"/>
      <c r="R454" s="49"/>
    </row>
    <row r="455" spans="2:18" hidden="1">
      <c r="B455" s="94" t="s">
        <v>533</v>
      </c>
      <c r="C455" s="183"/>
      <c r="D455" s="160"/>
      <c r="E455" s="176" t="s">
        <v>227</v>
      </c>
      <c r="F455" s="28" t="s">
        <v>329</v>
      </c>
      <c r="G455" s="54">
        <f>'Cost Schedule'!$D$9</f>
        <v>2323.4444444444448</v>
      </c>
      <c r="H455" s="54">
        <f>'Cost Schedule'!$D$9</f>
        <v>2323.4444444444448</v>
      </c>
      <c r="I455" s="54">
        <f>'Cost Schedule'!$D$9</f>
        <v>2323.4444444444448</v>
      </c>
      <c r="J455" s="54">
        <f>'Cost Schedule'!$D$9</f>
        <v>2323.4444444444448</v>
      </c>
      <c r="K455" s="54">
        <f>'Cost Schedule'!$D$9</f>
        <v>2323.4444444444448</v>
      </c>
      <c r="L455" s="54">
        <f>'Cost Schedule'!$D$9</f>
        <v>2323.4444444444448</v>
      </c>
      <c r="M455" s="54">
        <f>'Cost Schedule'!$D$9</f>
        <v>2323.4444444444448</v>
      </c>
      <c r="N455" s="54">
        <f>'Cost Schedule'!$D$9</f>
        <v>2323.4444444444448</v>
      </c>
      <c r="O455" s="54">
        <f>'Cost Schedule'!$D$9</f>
        <v>2323.4444444444448</v>
      </c>
      <c r="P455" s="54">
        <f>'Cost Schedule'!$D$9</f>
        <v>2323.4444444444448</v>
      </c>
      <c r="Q455" s="504"/>
      <c r="R455" s="55"/>
    </row>
    <row r="456" spans="2:18" hidden="1">
      <c r="B456" s="94" t="s">
        <v>533</v>
      </c>
      <c r="C456" s="185"/>
      <c r="D456" s="157"/>
      <c r="E456" s="176" t="s">
        <v>146</v>
      </c>
      <c r="F456" s="28" t="s">
        <v>207</v>
      </c>
      <c r="G456" s="129">
        <f t="shared" ref="G456:P456" si="235">G444*IF(G454="",G455,G454)</f>
        <v>0</v>
      </c>
      <c r="H456" s="129">
        <f t="shared" si="235"/>
        <v>0</v>
      </c>
      <c r="I456" s="129">
        <f t="shared" si="235"/>
        <v>0</v>
      </c>
      <c r="J456" s="129">
        <f t="shared" si="235"/>
        <v>0</v>
      </c>
      <c r="K456" s="129">
        <f t="shared" si="235"/>
        <v>0</v>
      </c>
      <c r="L456" s="129">
        <f t="shared" si="235"/>
        <v>0</v>
      </c>
      <c r="M456" s="129">
        <f t="shared" si="235"/>
        <v>0</v>
      </c>
      <c r="N456" s="129">
        <f t="shared" si="235"/>
        <v>0</v>
      </c>
      <c r="O456" s="129">
        <f t="shared" si="235"/>
        <v>0</v>
      </c>
      <c r="P456" s="129">
        <f t="shared" si="235"/>
        <v>0</v>
      </c>
      <c r="Q456" s="504"/>
      <c r="R456" s="49"/>
    </row>
    <row r="457" spans="2:18" hidden="1">
      <c r="B457" s="94" t="s">
        <v>533</v>
      </c>
      <c r="C457" s="200"/>
      <c r="D457" s="188"/>
      <c r="E457" s="205" t="str">
        <f>C442</f>
        <v>Source and apply ameliorants</v>
      </c>
      <c r="F457" s="72"/>
      <c r="G457" s="80">
        <f t="shared" ref="G457:P457" si="236">G450+G453+G456</f>
        <v>0</v>
      </c>
      <c r="H457" s="80">
        <f t="shared" si="236"/>
        <v>0</v>
      </c>
      <c r="I457" s="80">
        <f t="shared" si="236"/>
        <v>0</v>
      </c>
      <c r="J457" s="80">
        <f t="shared" si="236"/>
        <v>0</v>
      </c>
      <c r="K457" s="80">
        <f t="shared" si="236"/>
        <v>0</v>
      </c>
      <c r="L457" s="80">
        <f t="shared" si="236"/>
        <v>0</v>
      </c>
      <c r="M457" s="80">
        <f t="shared" si="236"/>
        <v>0</v>
      </c>
      <c r="N457" s="80">
        <f t="shared" si="236"/>
        <v>0</v>
      </c>
      <c r="O457" s="80">
        <f t="shared" si="236"/>
        <v>0</v>
      </c>
      <c r="P457" s="80">
        <f t="shared" si="236"/>
        <v>0</v>
      </c>
      <c r="Q457" s="504"/>
      <c r="R457" s="49"/>
    </row>
    <row r="458" spans="2:18" hidden="1">
      <c r="B458" s="94" t="s">
        <v>533</v>
      </c>
      <c r="C458" s="187" t="s">
        <v>740</v>
      </c>
      <c r="D458" s="119" t="s">
        <v>331</v>
      </c>
      <c r="E458" s="176" t="s">
        <v>623</v>
      </c>
      <c r="F458" s="28" t="s">
        <v>299</v>
      </c>
      <c r="G458" s="57">
        <f>G276+G277</f>
        <v>0</v>
      </c>
      <c r="H458" s="57">
        <f t="shared" ref="H458:P458" si="237">H276+H277</f>
        <v>0</v>
      </c>
      <c r="I458" s="57">
        <f t="shared" si="237"/>
        <v>0</v>
      </c>
      <c r="J458" s="57">
        <f t="shared" si="237"/>
        <v>0</v>
      </c>
      <c r="K458" s="57">
        <f t="shared" si="237"/>
        <v>0</v>
      </c>
      <c r="L458" s="57">
        <f t="shared" si="237"/>
        <v>0</v>
      </c>
      <c r="M458" s="57">
        <f t="shared" si="237"/>
        <v>0</v>
      </c>
      <c r="N458" s="57">
        <f t="shared" si="237"/>
        <v>0</v>
      </c>
      <c r="O458" s="57">
        <f t="shared" si="237"/>
        <v>0</v>
      </c>
      <c r="P458" s="57">
        <f t="shared" si="237"/>
        <v>0</v>
      </c>
      <c r="Q458" s="504"/>
      <c r="R458" s="49"/>
    </row>
    <row r="459" spans="2:18" hidden="1">
      <c r="B459" s="94" t="s">
        <v>533</v>
      </c>
      <c r="C459" s="183"/>
      <c r="D459" s="160"/>
      <c r="E459" s="176" t="s">
        <v>624</v>
      </c>
      <c r="F459" s="28" t="s">
        <v>299</v>
      </c>
      <c r="G459" s="410"/>
      <c r="H459" s="410"/>
      <c r="I459" s="410"/>
      <c r="J459" s="410"/>
      <c r="K459" s="410"/>
      <c r="L459" s="410"/>
      <c r="M459" s="410"/>
      <c r="N459" s="410"/>
      <c r="O459" s="410"/>
      <c r="P459" s="410"/>
      <c r="Q459" s="504"/>
      <c r="R459" s="49"/>
    </row>
    <row r="460" spans="2:18" hidden="1">
      <c r="B460" s="94" t="s">
        <v>533</v>
      </c>
      <c r="C460" s="183"/>
      <c r="D460" s="157"/>
      <c r="E460" s="176" t="s">
        <v>625</v>
      </c>
      <c r="F460" s="28" t="s">
        <v>299</v>
      </c>
      <c r="G460" s="57">
        <f>IF(G459="",G458,G459)</f>
        <v>0</v>
      </c>
      <c r="H460" s="57">
        <f t="shared" ref="H460:P460" si="238">IF(H459="",H458,H459)</f>
        <v>0</v>
      </c>
      <c r="I460" s="57">
        <f t="shared" si="238"/>
        <v>0</v>
      </c>
      <c r="J460" s="57">
        <f t="shared" si="238"/>
        <v>0</v>
      </c>
      <c r="K460" s="57">
        <f t="shared" si="238"/>
        <v>0</v>
      </c>
      <c r="L460" s="57">
        <f t="shared" si="238"/>
        <v>0</v>
      </c>
      <c r="M460" s="57">
        <f t="shared" si="238"/>
        <v>0</v>
      </c>
      <c r="N460" s="57">
        <f t="shared" si="238"/>
        <v>0</v>
      </c>
      <c r="O460" s="57">
        <f t="shared" si="238"/>
        <v>0</v>
      </c>
      <c r="P460" s="57">
        <f t="shared" si="238"/>
        <v>0</v>
      </c>
      <c r="Q460" s="504"/>
      <c r="R460" s="49"/>
    </row>
    <row r="461" spans="2:18" ht="33.75" hidden="1">
      <c r="B461" s="94" t="s">
        <v>533</v>
      </c>
      <c r="C461" s="161" t="s">
        <v>344</v>
      </c>
      <c r="D461" s="119" t="s">
        <v>345</v>
      </c>
      <c r="E461" s="176" t="s">
        <v>333</v>
      </c>
      <c r="F461" s="28" t="s">
        <v>123</v>
      </c>
      <c r="G461" s="412" t="s">
        <v>346</v>
      </c>
      <c r="H461" s="412" t="s">
        <v>346</v>
      </c>
      <c r="I461" s="412" t="s">
        <v>347</v>
      </c>
      <c r="J461" s="412" t="s">
        <v>347</v>
      </c>
      <c r="K461" s="412" t="s">
        <v>348</v>
      </c>
      <c r="L461" s="412" t="s">
        <v>349</v>
      </c>
      <c r="M461" s="412" t="s">
        <v>661</v>
      </c>
      <c r="N461" s="412" t="s">
        <v>662</v>
      </c>
      <c r="O461" s="412" t="s">
        <v>350</v>
      </c>
      <c r="P461" s="412" t="s">
        <v>351</v>
      </c>
      <c r="Q461" s="504"/>
      <c r="R461" s="49"/>
    </row>
    <row r="462" spans="2:18" hidden="1">
      <c r="B462" s="94" t="s">
        <v>533</v>
      </c>
      <c r="C462" s="162"/>
      <c r="D462" s="160"/>
      <c r="E462" s="176" t="s">
        <v>227</v>
      </c>
      <c r="F462" s="28" t="s">
        <v>352</v>
      </c>
      <c r="G462" s="54">
        <f t="shared" ref="G462:P462" si="239">_xlfn.XLOOKUP(G461,Rates_soil_seed_adds_names_R,Rates_soil_seed_adds_rates_R)</f>
        <v>150</v>
      </c>
      <c r="H462" s="54">
        <f t="shared" si="239"/>
        <v>150</v>
      </c>
      <c r="I462" s="54">
        <f t="shared" si="239"/>
        <v>350</v>
      </c>
      <c r="J462" s="54">
        <f t="shared" si="239"/>
        <v>350</v>
      </c>
      <c r="K462" s="54">
        <f t="shared" si="239"/>
        <v>5</v>
      </c>
      <c r="L462" s="54">
        <f t="shared" si="239"/>
        <v>15</v>
      </c>
      <c r="M462" s="54">
        <f t="shared" si="239"/>
        <v>17.647058823529413</v>
      </c>
      <c r="N462" s="54">
        <f t="shared" si="239"/>
        <v>920</v>
      </c>
      <c r="O462" s="54">
        <f t="shared" si="239"/>
        <v>17.647058823529413</v>
      </c>
      <c r="P462" s="54">
        <f t="shared" si="239"/>
        <v>920</v>
      </c>
      <c r="Q462" s="504"/>
      <c r="R462" s="49"/>
    </row>
    <row r="463" spans="2:18" hidden="1">
      <c r="B463" s="94" t="s">
        <v>533</v>
      </c>
      <c r="C463" s="162"/>
      <c r="D463" s="160"/>
      <c r="E463" s="176" t="s">
        <v>353</v>
      </c>
      <c r="G463" s="70" t="str">
        <f t="shared" ref="G463:P463" si="240">IF(G461=Arid,"",_xlfn.XLOOKUP(G461,Rates_soil_seed_adds_names_R,Rates_soil_seed_add_units_R))</f>
        <v>kg</v>
      </c>
      <c r="H463" s="70" t="str">
        <f t="shared" si="240"/>
        <v>kg</v>
      </c>
      <c r="I463" s="70" t="str">
        <f t="shared" si="240"/>
        <v>kg</v>
      </c>
      <c r="J463" s="70" t="str">
        <f t="shared" si="240"/>
        <v>kg</v>
      </c>
      <c r="K463" s="70" t="str">
        <f t="shared" si="240"/>
        <v>item</v>
      </c>
      <c r="L463" s="70" t="str">
        <f t="shared" si="240"/>
        <v>item</v>
      </c>
      <c r="M463" s="70" t="str">
        <f t="shared" si="240"/>
        <v>kg</v>
      </c>
      <c r="N463" s="70" t="str">
        <f t="shared" si="240"/>
        <v>kg</v>
      </c>
      <c r="O463" s="70" t="str">
        <f t="shared" si="240"/>
        <v>kg</v>
      </c>
      <c r="P463" s="70" t="str">
        <f t="shared" si="240"/>
        <v>kg</v>
      </c>
      <c r="Q463" s="504"/>
      <c r="R463" s="49"/>
    </row>
    <row r="464" spans="2:18" hidden="1">
      <c r="B464" s="94" t="s">
        <v>533</v>
      </c>
      <c r="C464" s="162"/>
      <c r="D464" s="160"/>
      <c r="E464" s="180" t="s">
        <v>229</v>
      </c>
      <c r="F464" s="28" t="s">
        <v>352</v>
      </c>
      <c r="G464" s="414"/>
      <c r="H464" s="414"/>
      <c r="I464" s="414"/>
      <c r="J464" s="414"/>
      <c r="K464" s="414"/>
      <c r="L464" s="414"/>
      <c r="M464" s="414"/>
      <c r="N464" s="414"/>
      <c r="O464" s="414"/>
      <c r="P464" s="414"/>
      <c r="Q464" s="504"/>
      <c r="R464" s="49"/>
    </row>
    <row r="465" spans="2:18" hidden="1">
      <c r="B465" s="94" t="s">
        <v>533</v>
      </c>
      <c r="C465" s="162"/>
      <c r="D465" s="160"/>
      <c r="E465" s="180" t="s">
        <v>320</v>
      </c>
      <c r="F465" s="28" t="s">
        <v>354</v>
      </c>
      <c r="G465" s="78">
        <f t="shared" ref="G465:P465" si="241">_xlfn.XLOOKUP(G461,Plant_and_seed_appln_rate_names_Assumptions,Plant_and_seed_appln_rates_rates_Assumptions)</f>
        <v>5</v>
      </c>
      <c r="H465" s="78">
        <f t="shared" si="241"/>
        <v>5</v>
      </c>
      <c r="I465" s="78">
        <f t="shared" si="241"/>
        <v>7</v>
      </c>
      <c r="J465" s="78">
        <f t="shared" si="241"/>
        <v>7</v>
      </c>
      <c r="K465" s="78">
        <f t="shared" si="241"/>
        <v>150</v>
      </c>
      <c r="L465" s="78">
        <f t="shared" si="241"/>
        <v>75</v>
      </c>
      <c r="M465" s="78">
        <f t="shared" si="241"/>
        <v>42.5</v>
      </c>
      <c r="N465" s="78">
        <f t="shared" si="241"/>
        <v>12.5</v>
      </c>
      <c r="O465" s="78">
        <f t="shared" si="241"/>
        <v>42.5</v>
      </c>
      <c r="P465" s="78">
        <f t="shared" si="241"/>
        <v>12.5</v>
      </c>
      <c r="Q465" s="504"/>
      <c r="R465" s="49"/>
    </row>
    <row r="466" spans="2:18" hidden="1">
      <c r="B466" s="94" t="s">
        <v>533</v>
      </c>
      <c r="C466" s="162"/>
      <c r="D466" s="160"/>
      <c r="E466" s="180" t="s">
        <v>355</v>
      </c>
      <c r="F466" s="28" t="s">
        <v>663</v>
      </c>
      <c r="G466" s="78">
        <f>G465*G460</f>
        <v>0</v>
      </c>
      <c r="H466" s="78">
        <f t="shared" ref="H466:P466" si="242">H465*H460</f>
        <v>0</v>
      </c>
      <c r="I466" s="78">
        <f t="shared" si="242"/>
        <v>0</v>
      </c>
      <c r="J466" s="78">
        <f t="shared" si="242"/>
        <v>0</v>
      </c>
      <c r="K466" s="78">
        <f t="shared" si="242"/>
        <v>0</v>
      </c>
      <c r="L466" s="78">
        <f t="shared" si="242"/>
        <v>0</v>
      </c>
      <c r="M466" s="78">
        <f t="shared" si="242"/>
        <v>0</v>
      </c>
      <c r="N466" s="78">
        <f t="shared" si="242"/>
        <v>0</v>
      </c>
      <c r="O466" s="78">
        <f t="shared" si="242"/>
        <v>0</v>
      </c>
      <c r="P466" s="78">
        <f t="shared" si="242"/>
        <v>0</v>
      </c>
      <c r="Q466" s="504"/>
      <c r="R466" s="49"/>
    </row>
    <row r="467" spans="2:18" hidden="1">
      <c r="B467" s="94" t="s">
        <v>533</v>
      </c>
      <c r="C467" s="163"/>
      <c r="D467" s="160"/>
      <c r="E467" s="176" t="s">
        <v>146</v>
      </c>
      <c r="F467" s="28" t="s">
        <v>207</v>
      </c>
      <c r="G467" s="79">
        <f>IF(G464="",G462,G464)*G466</f>
        <v>0</v>
      </c>
      <c r="H467" s="79">
        <f t="shared" ref="H467:P467" si="243">IF(H464="",H462,H464)*H466</f>
        <v>0</v>
      </c>
      <c r="I467" s="79">
        <f t="shared" si="243"/>
        <v>0</v>
      </c>
      <c r="J467" s="79">
        <f t="shared" si="243"/>
        <v>0</v>
      </c>
      <c r="K467" s="79">
        <f t="shared" si="243"/>
        <v>0</v>
      </c>
      <c r="L467" s="79">
        <f t="shared" si="243"/>
        <v>0</v>
      </c>
      <c r="M467" s="79">
        <f t="shared" si="243"/>
        <v>0</v>
      </c>
      <c r="N467" s="79">
        <f t="shared" si="243"/>
        <v>0</v>
      </c>
      <c r="O467" s="79">
        <f t="shared" si="243"/>
        <v>0</v>
      </c>
      <c r="P467" s="79">
        <f t="shared" si="243"/>
        <v>0</v>
      </c>
      <c r="Q467" s="504"/>
      <c r="R467" s="49"/>
    </row>
    <row r="468" spans="2:18" ht="56.25" hidden="1">
      <c r="B468" s="94" t="s">
        <v>533</v>
      </c>
      <c r="C468" s="161" t="s">
        <v>356</v>
      </c>
      <c r="D468" s="160"/>
      <c r="E468" s="176" t="s">
        <v>357</v>
      </c>
      <c r="F468" s="28" t="s">
        <v>123</v>
      </c>
      <c r="G468" s="412" t="s">
        <v>358</v>
      </c>
      <c r="H468" s="412" t="s">
        <v>359</v>
      </c>
      <c r="I468" s="412" t="s">
        <v>360</v>
      </c>
      <c r="J468" s="412" t="s">
        <v>361</v>
      </c>
      <c r="K468" s="412" t="s">
        <v>362</v>
      </c>
      <c r="L468" s="412" t="s">
        <v>363</v>
      </c>
      <c r="M468" s="412" t="s">
        <v>664</v>
      </c>
      <c r="N468" s="412" t="s">
        <v>665</v>
      </c>
      <c r="O468" s="412" t="s">
        <v>364</v>
      </c>
      <c r="P468" s="412" t="s">
        <v>365</v>
      </c>
      <c r="Q468" s="504"/>
      <c r="R468" s="49"/>
    </row>
    <row r="469" spans="2:18" hidden="1">
      <c r="B469" s="94" t="s">
        <v>533</v>
      </c>
      <c r="C469" s="162"/>
      <c r="D469" s="160"/>
      <c r="E469" s="176" t="s">
        <v>227</v>
      </c>
      <c r="F469" s="28" t="s">
        <v>299</v>
      </c>
      <c r="G469" s="54">
        <f t="shared" ref="G469:P469" si="244">IF(G461=Arid,0,_xlfn.XLOOKUP(G468,Plant_and_seed_apply_plant_names_CS,Plant_and_seed_apply_plant_rates_CS))</f>
        <v>539.45026666666672</v>
      </c>
      <c r="H469" s="54">
        <f t="shared" si="244"/>
        <v>265.67200000000003</v>
      </c>
      <c r="I469" s="54">
        <f t="shared" si="244"/>
        <v>539.45026666666672</v>
      </c>
      <c r="J469" s="54">
        <f t="shared" si="244"/>
        <v>265.67200000000003</v>
      </c>
      <c r="K469" s="54">
        <f t="shared" si="244"/>
        <v>218.42099999999999</v>
      </c>
      <c r="L469" s="54">
        <f t="shared" si="244"/>
        <v>634.21050000000002</v>
      </c>
      <c r="M469" s="54">
        <f t="shared" si="244"/>
        <v>3960</v>
      </c>
      <c r="N469" s="54">
        <f t="shared" si="244"/>
        <v>3960</v>
      </c>
      <c r="O469" s="54">
        <f t="shared" si="244"/>
        <v>46000</v>
      </c>
      <c r="P469" s="54">
        <f t="shared" si="244"/>
        <v>46000</v>
      </c>
      <c r="Q469" s="504"/>
      <c r="R469" s="49"/>
    </row>
    <row r="470" spans="2:18" hidden="1">
      <c r="B470" s="94" t="s">
        <v>533</v>
      </c>
      <c r="C470" s="162"/>
      <c r="D470" s="160"/>
      <c r="E470" s="180" t="s">
        <v>229</v>
      </c>
      <c r="F470" s="28" t="s">
        <v>329</v>
      </c>
      <c r="G470" s="414"/>
      <c r="H470" s="414"/>
      <c r="I470" s="414"/>
      <c r="J470" s="414"/>
      <c r="K470" s="414"/>
      <c r="L470" s="414"/>
      <c r="M470" s="414"/>
      <c r="N470" s="414"/>
      <c r="O470" s="414"/>
      <c r="P470" s="414"/>
      <c r="Q470" s="504"/>
      <c r="R470" s="49"/>
    </row>
    <row r="471" spans="2:18" hidden="1">
      <c r="B471" s="94" t="s">
        <v>533</v>
      </c>
      <c r="C471" s="163"/>
      <c r="D471" s="160"/>
      <c r="E471" s="176" t="s">
        <v>146</v>
      </c>
      <c r="F471" s="28" t="s">
        <v>207</v>
      </c>
      <c r="G471" s="79">
        <f>G460*IF(G470="",G469,G470)</f>
        <v>0</v>
      </c>
      <c r="H471" s="79">
        <f t="shared" ref="H471:P471" si="245">H460*IF(H470="",H469,H470)</f>
        <v>0</v>
      </c>
      <c r="I471" s="79">
        <f t="shared" si="245"/>
        <v>0</v>
      </c>
      <c r="J471" s="79">
        <f t="shared" si="245"/>
        <v>0</v>
      </c>
      <c r="K471" s="79">
        <f t="shared" si="245"/>
        <v>0</v>
      </c>
      <c r="L471" s="79">
        <f t="shared" si="245"/>
        <v>0</v>
      </c>
      <c r="M471" s="79">
        <f t="shared" si="245"/>
        <v>0</v>
      </c>
      <c r="N471" s="79">
        <f t="shared" si="245"/>
        <v>0</v>
      </c>
      <c r="O471" s="79">
        <f t="shared" si="245"/>
        <v>0</v>
      </c>
      <c r="P471" s="79">
        <f t="shared" si="245"/>
        <v>0</v>
      </c>
      <c r="Q471" s="504"/>
      <c r="R471" s="49"/>
    </row>
    <row r="472" spans="2:18" ht="56.25" hidden="1">
      <c r="B472" s="94" t="s">
        <v>533</v>
      </c>
      <c r="C472" s="161" t="s">
        <v>367</v>
      </c>
      <c r="D472" s="160"/>
      <c r="E472" s="176" t="s">
        <v>357</v>
      </c>
      <c r="F472" s="28" t="s">
        <v>123</v>
      </c>
      <c r="G472" s="412" t="s">
        <v>368</v>
      </c>
      <c r="H472" s="412" t="s">
        <v>369</v>
      </c>
      <c r="I472" s="412" t="s">
        <v>370</v>
      </c>
      <c r="J472" s="412" t="s">
        <v>371</v>
      </c>
      <c r="K472" s="412" t="s">
        <v>372</v>
      </c>
      <c r="L472" s="412" t="s">
        <v>373</v>
      </c>
      <c r="M472" s="412" t="s">
        <v>666</v>
      </c>
      <c r="N472" s="412" t="s">
        <v>667</v>
      </c>
      <c r="O472" s="412" t="s">
        <v>374</v>
      </c>
      <c r="P472" s="412" t="s">
        <v>375</v>
      </c>
      <c r="Q472" s="504"/>
      <c r="R472" s="49"/>
    </row>
    <row r="473" spans="2:18" hidden="1">
      <c r="B473" s="94" t="s">
        <v>533</v>
      </c>
      <c r="C473" s="162"/>
      <c r="D473" s="160"/>
      <c r="E473" s="176" t="s">
        <v>227</v>
      </c>
      <c r="F473" s="28" t="s">
        <v>299</v>
      </c>
      <c r="G473" s="54">
        <f t="shared" ref="G473:P473" si="246">IF(G461=Arid,0,_xlfn.XLOOKUP(G472,Plant_and_seed_fertiliser_buy_names_CS,Plant_and_seed_fertiliser_buy_rates_CS))</f>
        <v>337.65264299999996</v>
      </c>
      <c r="H473" s="54">
        <f t="shared" si="246"/>
        <v>337.65264299999996</v>
      </c>
      <c r="I473" s="54">
        <f t="shared" si="246"/>
        <v>50</v>
      </c>
      <c r="J473" s="54">
        <f t="shared" si="246"/>
        <v>50</v>
      </c>
      <c r="K473" s="54">
        <f t="shared" si="246"/>
        <v>50</v>
      </c>
      <c r="L473" s="54">
        <f t="shared" si="246"/>
        <v>50</v>
      </c>
      <c r="M473" s="54">
        <f t="shared" si="246"/>
        <v>365.79036324999993</v>
      </c>
      <c r="N473" s="54">
        <f t="shared" si="246"/>
        <v>162.5</v>
      </c>
      <c r="O473" s="54">
        <f t="shared" si="246"/>
        <v>365.79036324999993</v>
      </c>
      <c r="P473" s="54">
        <f t="shared" si="246"/>
        <v>365.79036324999993</v>
      </c>
      <c r="Q473" s="504"/>
      <c r="R473" s="49"/>
    </row>
    <row r="474" spans="2:18" hidden="1">
      <c r="B474" s="94" t="s">
        <v>533</v>
      </c>
      <c r="C474" s="162"/>
      <c r="D474" s="160"/>
      <c r="E474" s="180" t="s">
        <v>229</v>
      </c>
      <c r="F474" s="28" t="s">
        <v>329</v>
      </c>
      <c r="G474" s="414"/>
      <c r="H474" s="414"/>
      <c r="I474" s="414"/>
      <c r="J474" s="414"/>
      <c r="K474" s="414"/>
      <c r="L474" s="414"/>
      <c r="M474" s="414"/>
      <c r="N474" s="414"/>
      <c r="O474" s="414"/>
      <c r="P474" s="414"/>
      <c r="Q474" s="504"/>
      <c r="R474" s="49"/>
    </row>
    <row r="475" spans="2:18" hidden="1">
      <c r="B475" s="94" t="s">
        <v>533</v>
      </c>
      <c r="C475" s="163"/>
      <c r="D475" s="160"/>
      <c r="E475" s="176" t="s">
        <v>146</v>
      </c>
      <c r="F475" s="28" t="s">
        <v>207</v>
      </c>
      <c r="G475" s="79">
        <f>G$460*IF(G474="",G473,G474)</f>
        <v>0</v>
      </c>
      <c r="H475" s="79">
        <f t="shared" ref="H475:P475" si="247">H$460*IF(H474="",H473,H474)</f>
        <v>0</v>
      </c>
      <c r="I475" s="79">
        <f t="shared" si="247"/>
        <v>0</v>
      </c>
      <c r="J475" s="79">
        <f t="shared" si="247"/>
        <v>0</v>
      </c>
      <c r="K475" s="79">
        <f t="shared" si="247"/>
        <v>0</v>
      </c>
      <c r="L475" s="79">
        <f t="shared" si="247"/>
        <v>0</v>
      </c>
      <c r="M475" s="79">
        <f t="shared" si="247"/>
        <v>0</v>
      </c>
      <c r="N475" s="79">
        <f t="shared" si="247"/>
        <v>0</v>
      </c>
      <c r="O475" s="79">
        <f t="shared" si="247"/>
        <v>0</v>
      </c>
      <c r="P475" s="79">
        <f t="shared" si="247"/>
        <v>0</v>
      </c>
      <c r="Q475" s="504"/>
      <c r="R475" s="49"/>
    </row>
    <row r="476" spans="2:18" ht="56.25" hidden="1">
      <c r="B476" s="94" t="s">
        <v>533</v>
      </c>
      <c r="C476" s="161" t="s">
        <v>376</v>
      </c>
      <c r="D476" s="160"/>
      <c r="E476" s="176" t="s">
        <v>357</v>
      </c>
      <c r="F476" s="28" t="s">
        <v>123</v>
      </c>
      <c r="G476" s="412" t="s">
        <v>377</v>
      </c>
      <c r="H476" s="412" t="s">
        <v>378</v>
      </c>
      <c r="I476" s="412" t="s">
        <v>379</v>
      </c>
      <c r="J476" s="412" t="s">
        <v>380</v>
      </c>
      <c r="K476" s="412" t="s">
        <v>381</v>
      </c>
      <c r="L476" s="412" t="s">
        <v>382</v>
      </c>
      <c r="M476" s="412" t="s">
        <v>668</v>
      </c>
      <c r="N476" s="412" t="s">
        <v>669</v>
      </c>
      <c r="O476" s="412" t="s">
        <v>383</v>
      </c>
      <c r="P476" s="412" t="s">
        <v>384</v>
      </c>
      <c r="Q476" s="504"/>
      <c r="R476" s="49"/>
    </row>
    <row r="477" spans="2:18" hidden="1">
      <c r="B477" s="94" t="s">
        <v>533</v>
      </c>
      <c r="C477" s="162"/>
      <c r="D477" s="160"/>
      <c r="E477" s="176" t="s">
        <v>227</v>
      </c>
      <c r="F477" s="28" t="s">
        <v>299</v>
      </c>
      <c r="G477" s="54">
        <f t="shared" ref="G477:P477" si="248">IF(G461=Arid,0,_xlfn.XLOOKUP(G476,Plant_and_seed_apply_fertiliser_names_CS,Plant_and_seed_fertiliser_apply_rates_CS))</f>
        <v>151.0736</v>
      </c>
      <c r="H477" s="54">
        <f t="shared" si="248"/>
        <v>39.473333333333336</v>
      </c>
      <c r="I477" s="54">
        <f t="shared" si="248"/>
        <v>151.0736</v>
      </c>
      <c r="J477" s="54">
        <f t="shared" si="248"/>
        <v>39.473333333333336</v>
      </c>
      <c r="K477" s="54">
        <f t="shared" si="248"/>
        <v>9.4736000000000011</v>
      </c>
      <c r="L477" s="54">
        <f t="shared" si="248"/>
        <v>9.4736000000000011</v>
      </c>
      <c r="M477" s="54">
        <f t="shared" si="248"/>
        <v>0</v>
      </c>
      <c r="N477" s="54">
        <f t="shared" si="248"/>
        <v>0</v>
      </c>
      <c r="O477" s="54">
        <f t="shared" si="248"/>
        <v>0</v>
      </c>
      <c r="P477" s="54">
        <f t="shared" si="248"/>
        <v>0</v>
      </c>
      <c r="Q477" s="504"/>
      <c r="R477" s="49"/>
    </row>
    <row r="478" spans="2:18" hidden="1">
      <c r="B478" s="94" t="s">
        <v>533</v>
      </c>
      <c r="C478" s="162"/>
      <c r="D478" s="160"/>
      <c r="E478" s="180" t="s">
        <v>229</v>
      </c>
      <c r="F478" s="28" t="s">
        <v>329</v>
      </c>
      <c r="G478" s="414"/>
      <c r="H478" s="414"/>
      <c r="I478" s="414"/>
      <c r="J478" s="414"/>
      <c r="K478" s="414"/>
      <c r="L478" s="414"/>
      <c r="M478" s="414"/>
      <c r="N478" s="414"/>
      <c r="O478" s="414"/>
      <c r="P478" s="414"/>
      <c r="Q478" s="504"/>
      <c r="R478" s="49"/>
    </row>
    <row r="479" spans="2:18" hidden="1">
      <c r="B479" s="94" t="s">
        <v>533</v>
      </c>
      <c r="C479" s="163"/>
      <c r="D479" s="160"/>
      <c r="E479" s="176" t="s">
        <v>146</v>
      </c>
      <c r="F479" s="28" t="s">
        <v>207</v>
      </c>
      <c r="G479" s="79">
        <f>G$460*IF(G478="",G477,G478)</f>
        <v>0</v>
      </c>
      <c r="H479" s="79">
        <f t="shared" ref="H479" si="249">H$460*IF(H478="",H477,H478)</f>
        <v>0</v>
      </c>
      <c r="I479" s="79">
        <f t="shared" ref="I479" si="250">I$460*IF(I478="",I477,I478)</f>
        <v>0</v>
      </c>
      <c r="J479" s="79">
        <f t="shared" ref="J479" si="251">J$460*IF(J478="",J477,J478)</f>
        <v>0</v>
      </c>
      <c r="K479" s="79">
        <f t="shared" ref="K479" si="252">K$460*IF(K478="",K477,K478)</f>
        <v>0</v>
      </c>
      <c r="L479" s="79">
        <f t="shared" ref="L479" si="253">L$460*IF(L478="",L477,L478)</f>
        <v>0</v>
      </c>
      <c r="M479" s="79">
        <f t="shared" ref="M479" si="254">M$460*IF(M478="",M477,M478)</f>
        <v>0</v>
      </c>
      <c r="N479" s="79">
        <f t="shared" ref="N479" si="255">N$460*IF(N478="",N477,N478)</f>
        <v>0</v>
      </c>
      <c r="O479" s="79">
        <f t="shared" ref="O479" si="256">O$460*IF(O478="",O477,O478)</f>
        <v>0</v>
      </c>
      <c r="P479" s="79">
        <f t="shared" ref="P479" si="257">P$460*IF(P478="",P477,P478)</f>
        <v>0</v>
      </c>
      <c r="Q479" s="504"/>
      <c r="R479" s="49"/>
    </row>
    <row r="480" spans="2:18" ht="45" hidden="1">
      <c r="B480" s="94" t="s">
        <v>533</v>
      </c>
      <c r="C480" s="161" t="s">
        <v>386</v>
      </c>
      <c r="D480" s="160"/>
      <c r="E480" s="176" t="s">
        <v>357</v>
      </c>
      <c r="F480" s="28" t="s">
        <v>123</v>
      </c>
      <c r="G480" s="412" t="s">
        <v>387</v>
      </c>
      <c r="H480" s="412" t="s">
        <v>388</v>
      </c>
      <c r="I480" s="412" t="s">
        <v>389</v>
      </c>
      <c r="J480" s="412" t="s">
        <v>390</v>
      </c>
      <c r="K480" s="412" t="s">
        <v>391</v>
      </c>
      <c r="L480" s="412" t="s">
        <v>392</v>
      </c>
      <c r="M480" s="412" t="s">
        <v>827</v>
      </c>
      <c r="N480" s="412" t="s">
        <v>670</v>
      </c>
      <c r="O480" s="412" t="s">
        <v>393</v>
      </c>
      <c r="P480" s="412" t="s">
        <v>394</v>
      </c>
      <c r="Q480" s="504"/>
      <c r="R480" s="49"/>
    </row>
    <row r="481" spans="2:18" hidden="1">
      <c r="B481" s="94" t="s">
        <v>533</v>
      </c>
      <c r="C481" s="162"/>
      <c r="D481" s="160"/>
      <c r="E481" s="176" t="s">
        <v>227</v>
      </c>
      <c r="F481" s="28" t="s">
        <v>299</v>
      </c>
      <c r="G481" s="54">
        <f t="shared" ref="G481:P481" si="258">IF(G461=Arid,0,_xlfn.XLOOKUP(G480,Plant_and_seed_buy_water_names_CS,Plant_and_seed_water_buy_rates_CS))</f>
        <v>1200</v>
      </c>
      <c r="H481" s="54">
        <f t="shared" si="258"/>
        <v>1200</v>
      </c>
      <c r="I481" s="54">
        <f t="shared" si="258"/>
        <v>1200</v>
      </c>
      <c r="J481" s="54">
        <f t="shared" si="258"/>
        <v>1200</v>
      </c>
      <c r="K481" s="54">
        <f t="shared" si="258"/>
        <v>100</v>
      </c>
      <c r="L481" s="54">
        <f t="shared" si="258"/>
        <v>100</v>
      </c>
      <c r="M481" s="54">
        <f t="shared" si="258"/>
        <v>600</v>
      </c>
      <c r="N481" s="54">
        <f t="shared" si="258"/>
        <v>600</v>
      </c>
      <c r="O481" s="54">
        <f t="shared" si="258"/>
        <v>600</v>
      </c>
      <c r="P481" s="54">
        <f t="shared" si="258"/>
        <v>1200</v>
      </c>
      <c r="Q481" s="504"/>
      <c r="R481" s="49"/>
    </row>
    <row r="482" spans="2:18" hidden="1">
      <c r="B482" s="94" t="s">
        <v>533</v>
      </c>
      <c r="C482" s="162"/>
      <c r="D482" s="160"/>
      <c r="E482" s="180" t="s">
        <v>229</v>
      </c>
      <c r="F482" s="28" t="s">
        <v>329</v>
      </c>
      <c r="G482" s="414"/>
      <c r="H482" s="414"/>
      <c r="I482" s="414"/>
      <c r="J482" s="414"/>
      <c r="K482" s="414"/>
      <c r="L482" s="414"/>
      <c r="M482" s="414"/>
      <c r="N482" s="414"/>
      <c r="O482" s="414"/>
      <c r="P482" s="414"/>
      <c r="Q482" s="504"/>
      <c r="R482" s="49"/>
    </row>
    <row r="483" spans="2:18" hidden="1">
      <c r="B483" s="94" t="s">
        <v>533</v>
      </c>
      <c r="C483" s="163"/>
      <c r="D483" s="160"/>
      <c r="E483" s="176" t="s">
        <v>146</v>
      </c>
      <c r="F483" s="28" t="s">
        <v>207</v>
      </c>
      <c r="G483" s="79">
        <f>G$460*IF(G482="",G481,G482)</f>
        <v>0</v>
      </c>
      <c r="H483" s="79">
        <f t="shared" ref="H483" si="259">H$460*IF(H482="",H481,H482)</f>
        <v>0</v>
      </c>
      <c r="I483" s="79">
        <f t="shared" ref="I483" si="260">I$460*IF(I482="",I481,I482)</f>
        <v>0</v>
      </c>
      <c r="J483" s="79">
        <f t="shared" ref="J483" si="261">J$460*IF(J482="",J481,J482)</f>
        <v>0</v>
      </c>
      <c r="K483" s="79">
        <f t="shared" ref="K483" si="262">K$460*IF(K482="",K481,K482)</f>
        <v>0</v>
      </c>
      <c r="L483" s="79">
        <f t="shared" ref="L483" si="263">L$460*IF(L482="",L481,L482)</f>
        <v>0</v>
      </c>
      <c r="M483" s="79">
        <f t="shared" ref="M483" si="264">M$460*IF(M482="",M481,M482)</f>
        <v>0</v>
      </c>
      <c r="N483" s="79">
        <f t="shared" ref="N483" si="265">N$460*IF(N482="",N481,N482)</f>
        <v>0</v>
      </c>
      <c r="O483" s="79">
        <f t="shared" ref="O483" si="266">O$460*IF(O482="",O481,O482)</f>
        <v>0</v>
      </c>
      <c r="P483" s="79">
        <f t="shared" ref="P483" si="267">P$460*IF(P482="",P481,P482)</f>
        <v>0</v>
      </c>
      <c r="Q483" s="504"/>
      <c r="R483" s="49"/>
    </row>
    <row r="484" spans="2:18" ht="56.25" hidden="1">
      <c r="B484" s="94" t="s">
        <v>533</v>
      </c>
      <c r="C484" s="161" t="s">
        <v>396</v>
      </c>
      <c r="D484" s="160"/>
      <c r="E484" s="176" t="s">
        <v>357</v>
      </c>
      <c r="F484" s="28" t="s">
        <v>123</v>
      </c>
      <c r="G484" s="412" t="s">
        <v>397</v>
      </c>
      <c r="H484" s="412" t="s">
        <v>398</v>
      </c>
      <c r="I484" s="412" t="s">
        <v>399</v>
      </c>
      <c r="J484" s="412" t="s">
        <v>400</v>
      </c>
      <c r="K484" s="412" t="s">
        <v>401</v>
      </c>
      <c r="L484" s="412" t="s">
        <v>402</v>
      </c>
      <c r="M484" s="412" t="s">
        <v>671</v>
      </c>
      <c r="N484" s="412" t="s">
        <v>672</v>
      </c>
      <c r="O484" s="412" t="s">
        <v>403</v>
      </c>
      <c r="P484" s="412" t="s">
        <v>404</v>
      </c>
      <c r="Q484" s="504"/>
      <c r="R484" s="49"/>
    </row>
    <row r="485" spans="2:18" hidden="1">
      <c r="B485" s="94" t="s">
        <v>533</v>
      </c>
      <c r="C485" s="162"/>
      <c r="D485" s="160"/>
      <c r="E485" s="176" t="s">
        <v>227</v>
      </c>
      <c r="F485" s="28" t="s">
        <v>299</v>
      </c>
      <c r="G485" s="54">
        <f t="shared" ref="G485:P485" si="268">IF(G461=Arid,0,_xlfn.XLOOKUP(G484,Plant_and_seed_apply_water_names_CS,Plant_and_seed_apply_water_rates_CS))</f>
        <v>167.66666666666666</v>
      </c>
      <c r="H485" s="54">
        <f t="shared" si="268"/>
        <v>167.66666666666666</v>
      </c>
      <c r="I485" s="54">
        <f t="shared" si="268"/>
        <v>167.66666666666666</v>
      </c>
      <c r="J485" s="54">
        <f t="shared" si="268"/>
        <v>167.66666666666666</v>
      </c>
      <c r="K485" s="54">
        <f t="shared" si="268"/>
        <v>167.66666666666666</v>
      </c>
      <c r="L485" s="54">
        <f t="shared" si="268"/>
        <v>167.66666666666666</v>
      </c>
      <c r="M485" s="54">
        <f t="shared" si="268"/>
        <v>188.625</v>
      </c>
      <c r="N485" s="54">
        <f t="shared" si="268"/>
        <v>188.625</v>
      </c>
      <c r="O485" s="54">
        <f t="shared" si="268"/>
        <v>18.862500000000001</v>
      </c>
      <c r="P485" s="54">
        <f t="shared" si="268"/>
        <v>18.862500000000001</v>
      </c>
      <c r="Q485" s="504"/>
      <c r="R485" s="49"/>
    </row>
    <row r="486" spans="2:18" hidden="1">
      <c r="B486" s="94" t="s">
        <v>533</v>
      </c>
      <c r="C486" s="162"/>
      <c r="D486" s="160"/>
      <c r="E486" s="180" t="s">
        <v>229</v>
      </c>
      <c r="F486" s="28" t="s">
        <v>329</v>
      </c>
      <c r="G486" s="414"/>
      <c r="H486" s="414"/>
      <c r="I486" s="414"/>
      <c r="J486" s="414"/>
      <c r="K486" s="414"/>
      <c r="L486" s="414"/>
      <c r="M486" s="414"/>
      <c r="N486" s="414"/>
      <c r="O486" s="414"/>
      <c r="P486" s="414"/>
      <c r="Q486" s="504"/>
      <c r="R486" s="49"/>
    </row>
    <row r="487" spans="2:18" hidden="1">
      <c r="B487" s="94" t="s">
        <v>533</v>
      </c>
      <c r="C487" s="163"/>
      <c r="D487" s="157"/>
      <c r="E487" s="176" t="s">
        <v>146</v>
      </c>
      <c r="F487" s="28" t="s">
        <v>207</v>
      </c>
      <c r="G487" s="79">
        <f>G$460*IF(G486="",G485,G486)</f>
        <v>0</v>
      </c>
      <c r="H487" s="79">
        <f t="shared" ref="H487" si="269">H$460*IF(H486="",H485,H486)</f>
        <v>0</v>
      </c>
      <c r="I487" s="79">
        <f t="shared" ref="I487" si="270">I$460*IF(I486="",I485,I486)</f>
        <v>0</v>
      </c>
      <c r="J487" s="79">
        <f t="shared" ref="J487" si="271">J$460*IF(J486="",J485,J486)</f>
        <v>0</v>
      </c>
      <c r="K487" s="79">
        <f t="shared" ref="K487" si="272">K$460*IF(K486="",K485,K486)</f>
        <v>0</v>
      </c>
      <c r="L487" s="79">
        <f t="shared" ref="L487" si="273">L$460*IF(L486="",L485,L486)</f>
        <v>0</v>
      </c>
      <c r="M487" s="79">
        <f t="shared" ref="M487" si="274">M$460*IF(M486="",M485,M486)</f>
        <v>0</v>
      </c>
      <c r="N487" s="79">
        <f t="shared" ref="N487" si="275">N$460*IF(N486="",N485,N486)</f>
        <v>0</v>
      </c>
      <c r="O487" s="79">
        <f t="shared" ref="O487" si="276">O$460*IF(O486="",O485,O486)</f>
        <v>0</v>
      </c>
      <c r="P487" s="79">
        <f t="shared" ref="P487" si="277">P$460*IF(P486="",P485,P486)</f>
        <v>0</v>
      </c>
      <c r="Q487" s="504"/>
      <c r="R487" s="49"/>
    </row>
    <row r="488" spans="2:18" ht="12" hidden="1" thickBot="1">
      <c r="B488" s="94" t="s">
        <v>533</v>
      </c>
      <c r="C488" s="200"/>
      <c r="D488" s="188"/>
      <c r="E488" s="205" t="str">
        <f>C458</f>
        <v>Vegetate</v>
      </c>
      <c r="F488" s="72"/>
      <c r="G488" s="64">
        <f>G467+G471+G475+G479+G483+G487</f>
        <v>0</v>
      </c>
      <c r="H488" s="64">
        <f t="shared" ref="H488:P488" si="278">H467+H471+H475+H479+H483+H487</f>
        <v>0</v>
      </c>
      <c r="I488" s="64">
        <f t="shared" si="278"/>
        <v>0</v>
      </c>
      <c r="J488" s="64">
        <f t="shared" si="278"/>
        <v>0</v>
      </c>
      <c r="K488" s="64">
        <f t="shared" si="278"/>
        <v>0</v>
      </c>
      <c r="L488" s="64">
        <f t="shared" si="278"/>
        <v>0</v>
      </c>
      <c r="M488" s="64">
        <f t="shared" si="278"/>
        <v>0</v>
      </c>
      <c r="N488" s="64">
        <f t="shared" si="278"/>
        <v>0</v>
      </c>
      <c r="O488" s="64">
        <f t="shared" si="278"/>
        <v>0</v>
      </c>
      <c r="P488" s="64">
        <f t="shared" si="278"/>
        <v>0</v>
      </c>
      <c r="Q488" s="504"/>
      <c r="R488" s="49"/>
    </row>
    <row r="489" spans="2:18" hidden="1">
      <c r="B489" s="94" t="s">
        <v>533</v>
      </c>
      <c r="C489" s="177" t="s">
        <v>828</v>
      </c>
      <c r="D489" s="161"/>
      <c r="E489" s="176" t="s">
        <v>623</v>
      </c>
      <c r="F489" s="28" t="s">
        <v>299</v>
      </c>
      <c r="G489" s="78">
        <f t="shared" ref="G489:P489" si="279">G$276</f>
        <v>0</v>
      </c>
      <c r="H489" s="78">
        <f t="shared" si="279"/>
        <v>0</v>
      </c>
      <c r="I489" s="78">
        <f t="shared" si="279"/>
        <v>0</v>
      </c>
      <c r="J489" s="78">
        <f t="shared" si="279"/>
        <v>0</v>
      </c>
      <c r="K489" s="78">
        <f t="shared" si="279"/>
        <v>0</v>
      </c>
      <c r="L489" s="78">
        <f t="shared" si="279"/>
        <v>0</v>
      </c>
      <c r="M489" s="78">
        <f t="shared" si="279"/>
        <v>0</v>
      </c>
      <c r="N489" s="78">
        <f t="shared" si="279"/>
        <v>0</v>
      </c>
      <c r="O489" s="78">
        <f t="shared" si="279"/>
        <v>0</v>
      </c>
      <c r="P489" s="78">
        <f t="shared" si="279"/>
        <v>0</v>
      </c>
      <c r="Q489" s="504"/>
      <c r="R489" s="55"/>
    </row>
    <row r="490" spans="2:18" hidden="1">
      <c r="B490" s="94" t="s">
        <v>533</v>
      </c>
      <c r="C490" s="178"/>
      <c r="D490" s="163"/>
      <c r="E490" s="176" t="s">
        <v>624</v>
      </c>
      <c r="F490" s="28" t="s">
        <v>299</v>
      </c>
      <c r="G490" s="515"/>
      <c r="H490" s="515"/>
      <c r="I490" s="515"/>
      <c r="J490" s="515"/>
      <c r="K490" s="515"/>
      <c r="L490" s="515"/>
      <c r="M490" s="515"/>
      <c r="N490" s="515"/>
      <c r="O490" s="515"/>
      <c r="P490" s="515"/>
      <c r="Q490" s="504"/>
      <c r="R490" s="49"/>
    </row>
    <row r="491" spans="2:18" hidden="1">
      <c r="B491" s="94" t="s">
        <v>533</v>
      </c>
      <c r="C491" s="178"/>
      <c r="D491" s="161" t="s">
        <v>829</v>
      </c>
      <c r="E491" s="176" t="s">
        <v>625</v>
      </c>
      <c r="F491" s="28" t="s">
        <v>299</v>
      </c>
      <c r="G491" s="78">
        <f t="shared" ref="G491:P491" si="280">IF(G490="",G489,G490)</f>
        <v>0</v>
      </c>
      <c r="H491" s="78">
        <f t="shared" si="280"/>
        <v>0</v>
      </c>
      <c r="I491" s="78">
        <f t="shared" si="280"/>
        <v>0</v>
      </c>
      <c r="J491" s="78">
        <f t="shared" si="280"/>
        <v>0</v>
      </c>
      <c r="K491" s="78">
        <f t="shared" si="280"/>
        <v>0</v>
      </c>
      <c r="L491" s="78">
        <f t="shared" si="280"/>
        <v>0</v>
      </c>
      <c r="M491" s="78">
        <f t="shared" si="280"/>
        <v>0</v>
      </c>
      <c r="N491" s="78">
        <f t="shared" si="280"/>
        <v>0</v>
      </c>
      <c r="O491" s="78">
        <f t="shared" si="280"/>
        <v>0</v>
      </c>
      <c r="P491" s="78">
        <f t="shared" si="280"/>
        <v>0</v>
      </c>
      <c r="Q491" s="504"/>
      <c r="R491" s="55"/>
    </row>
    <row r="492" spans="2:18" hidden="1">
      <c r="B492" s="94" t="s">
        <v>533</v>
      </c>
      <c r="C492" s="178"/>
      <c r="D492" s="162"/>
      <c r="E492" s="176" t="s">
        <v>830</v>
      </c>
      <c r="F492" s="28" t="s">
        <v>831</v>
      </c>
      <c r="G492" s="78">
        <f t="shared" ref="G492:P492" si="281">Permeability_Testing_points_frequency</f>
        <v>1</v>
      </c>
      <c r="H492" s="78">
        <f t="shared" si="281"/>
        <v>1</v>
      </c>
      <c r="I492" s="78">
        <f t="shared" si="281"/>
        <v>1</v>
      </c>
      <c r="J492" s="78">
        <f t="shared" si="281"/>
        <v>1</v>
      </c>
      <c r="K492" s="78">
        <f t="shared" si="281"/>
        <v>1</v>
      </c>
      <c r="L492" s="78">
        <f t="shared" si="281"/>
        <v>1</v>
      </c>
      <c r="M492" s="78">
        <f t="shared" si="281"/>
        <v>1</v>
      </c>
      <c r="N492" s="78">
        <f t="shared" si="281"/>
        <v>1</v>
      </c>
      <c r="O492" s="78">
        <f t="shared" si="281"/>
        <v>1</v>
      </c>
      <c r="P492" s="78">
        <f t="shared" si="281"/>
        <v>1</v>
      </c>
      <c r="Q492" s="504"/>
      <c r="R492" s="49"/>
    </row>
    <row r="493" spans="2:18" hidden="1">
      <c r="B493" s="94" t="s">
        <v>533</v>
      </c>
      <c r="C493" s="178"/>
      <c r="D493" s="162"/>
      <c r="E493" s="176" t="s">
        <v>832</v>
      </c>
      <c r="F493" s="28" t="s">
        <v>199</v>
      </c>
      <c r="G493" s="78">
        <f t="shared" ref="G493:P493" si="282">G492*G491</f>
        <v>0</v>
      </c>
      <c r="H493" s="78">
        <f t="shared" si="282"/>
        <v>0</v>
      </c>
      <c r="I493" s="78">
        <f t="shared" si="282"/>
        <v>0</v>
      </c>
      <c r="J493" s="78">
        <f t="shared" si="282"/>
        <v>0</v>
      </c>
      <c r="K493" s="78">
        <f t="shared" si="282"/>
        <v>0</v>
      </c>
      <c r="L493" s="78">
        <f t="shared" si="282"/>
        <v>0</v>
      </c>
      <c r="M493" s="78">
        <f t="shared" si="282"/>
        <v>0</v>
      </c>
      <c r="N493" s="78">
        <f t="shared" si="282"/>
        <v>0</v>
      </c>
      <c r="O493" s="78">
        <f t="shared" si="282"/>
        <v>0</v>
      </c>
      <c r="P493" s="78">
        <f t="shared" si="282"/>
        <v>0</v>
      </c>
      <c r="Q493" s="504"/>
      <c r="R493" s="55"/>
    </row>
    <row r="494" spans="2:18" hidden="1">
      <c r="B494" s="94" t="s">
        <v>533</v>
      </c>
      <c r="C494" s="178"/>
      <c r="D494" s="162"/>
      <c r="E494" s="176" t="s">
        <v>826</v>
      </c>
      <c r="F494" s="28" t="s">
        <v>329</v>
      </c>
      <c r="G494" s="54">
        <f>'Cost Schedule'!$D$52</f>
        <v>1056.2716109999999</v>
      </c>
      <c r="H494" s="54">
        <f>'Cost Schedule'!$D$52</f>
        <v>1056.2716109999999</v>
      </c>
      <c r="I494" s="54">
        <f>'Cost Schedule'!$D$52</f>
        <v>1056.2716109999999</v>
      </c>
      <c r="J494" s="54">
        <f>'Cost Schedule'!$D$52</f>
        <v>1056.2716109999999</v>
      </c>
      <c r="K494" s="54">
        <f>'Cost Schedule'!$D$52</f>
        <v>1056.2716109999999</v>
      </c>
      <c r="L494" s="54">
        <f>'Cost Schedule'!$D$52</f>
        <v>1056.2716109999999</v>
      </c>
      <c r="M494" s="54">
        <f>'Cost Schedule'!$D$52</f>
        <v>1056.2716109999999</v>
      </c>
      <c r="N494" s="54">
        <f>'Cost Schedule'!$D$52</f>
        <v>1056.2716109999999</v>
      </c>
      <c r="O494" s="54">
        <f>'Cost Schedule'!$D$52</f>
        <v>1056.2716109999999</v>
      </c>
      <c r="P494" s="54">
        <f>'Cost Schedule'!$D$52</f>
        <v>1056.2716109999999</v>
      </c>
      <c r="Q494" s="504"/>
      <c r="R494" s="55"/>
    </row>
    <row r="495" spans="2:18" hidden="1">
      <c r="B495" s="94" t="s">
        <v>533</v>
      </c>
      <c r="C495" s="178"/>
      <c r="D495" s="162"/>
      <c r="E495" s="180" t="s">
        <v>229</v>
      </c>
      <c r="F495" s="28" t="s">
        <v>329</v>
      </c>
      <c r="G495" s="414"/>
      <c r="H495" s="414"/>
      <c r="I495" s="414"/>
      <c r="J495" s="414"/>
      <c r="K495" s="414"/>
      <c r="L495" s="414"/>
      <c r="M495" s="414"/>
      <c r="N495" s="414"/>
      <c r="O495" s="414"/>
      <c r="P495" s="414"/>
      <c r="Q495" s="504"/>
      <c r="R495" s="49"/>
    </row>
    <row r="496" spans="2:18" hidden="1">
      <c r="B496" s="94" t="s">
        <v>533</v>
      </c>
      <c r="C496" s="179"/>
      <c r="D496" s="163"/>
      <c r="E496" s="176" t="s">
        <v>146</v>
      </c>
      <c r="F496" s="28" t="s">
        <v>207</v>
      </c>
      <c r="G496" s="130">
        <f t="shared" ref="G496:P496" si="283">IF(G495="",G494,G495)*G493</f>
        <v>0</v>
      </c>
      <c r="H496" s="130">
        <f t="shared" si="283"/>
        <v>0</v>
      </c>
      <c r="I496" s="130">
        <f t="shared" si="283"/>
        <v>0</v>
      </c>
      <c r="J496" s="130">
        <f t="shared" si="283"/>
        <v>0</v>
      </c>
      <c r="K496" s="130">
        <f t="shared" si="283"/>
        <v>0</v>
      </c>
      <c r="L496" s="130">
        <f t="shared" si="283"/>
        <v>0</v>
      </c>
      <c r="M496" s="130">
        <f t="shared" si="283"/>
        <v>0</v>
      </c>
      <c r="N496" s="130">
        <f t="shared" si="283"/>
        <v>0</v>
      </c>
      <c r="O496" s="130">
        <f t="shared" si="283"/>
        <v>0</v>
      </c>
      <c r="P496" s="130">
        <f t="shared" si="283"/>
        <v>0</v>
      </c>
      <c r="Q496" s="504"/>
      <c r="R496" s="49"/>
    </row>
    <row r="497" spans="2:18" hidden="1">
      <c r="B497" s="94" t="s">
        <v>533</v>
      </c>
      <c r="C497" s="177" t="s">
        <v>833</v>
      </c>
      <c r="D497" s="161" t="s">
        <v>834</v>
      </c>
      <c r="E497" s="176" t="s">
        <v>227</v>
      </c>
      <c r="F497" s="28" t="s">
        <v>329</v>
      </c>
      <c r="G497" s="54">
        <f>IF(G$274=High_risk_cap,'Cost Schedule'!$D$61,IF('Beneficiation Facility'!G274=Medium_risk_cap,'Cost Schedule'!$D$60,IF('Beneficiation Facility'!G274=Low_risk_cap,'Cost Schedule'!$D$59,IF('Beneficiation Facility'!G274=Very_Low_risk_cap,'Cost Schedule'!$D$58,"E"))))</f>
        <v>2075</v>
      </c>
      <c r="H497" s="54">
        <f>IF(H$274=High_risk_cap,'Cost Schedule'!$D$61,IF('Beneficiation Facility'!H274=Medium_risk_cap,'Cost Schedule'!$D$60,IF('Beneficiation Facility'!H274=Low_risk_cap,'Cost Schedule'!$D$59,IF('Beneficiation Facility'!H274=Very_Low_risk_cap,'Cost Schedule'!$D$58,"E"))))</f>
        <v>1550</v>
      </c>
      <c r="I497" s="54">
        <f>IF(I$274=High_risk_cap,'Cost Schedule'!$D$61,IF('Beneficiation Facility'!I274=Medium_risk_cap,'Cost Schedule'!$D$60,IF('Beneficiation Facility'!I274=Low_risk_cap,'Cost Schedule'!$D$59,IF('Beneficiation Facility'!I274=Very_Low_risk_cap,'Cost Schedule'!$D$58,"E"))))</f>
        <v>1550</v>
      </c>
      <c r="J497" s="54">
        <f>IF(J$274=High_risk_cap,'Cost Schedule'!$D$61,IF('Beneficiation Facility'!J274=Medium_risk_cap,'Cost Schedule'!$D$60,IF('Beneficiation Facility'!J274=Low_risk_cap,'Cost Schedule'!$D$59,IF('Beneficiation Facility'!J274=Very_Low_risk_cap,'Cost Schedule'!$D$58,"E"))))</f>
        <v>4900</v>
      </c>
      <c r="K497" s="54">
        <f>IF(K$274=High_risk_cap,'Cost Schedule'!$D$61,IF('Beneficiation Facility'!K274=Medium_risk_cap,'Cost Schedule'!$D$60,IF('Beneficiation Facility'!K274=Low_risk_cap,'Cost Schedule'!$D$59,IF('Beneficiation Facility'!K274=Very_Low_risk_cap,'Cost Schedule'!$D$58,"E"))))</f>
        <v>2075</v>
      </c>
      <c r="L497" s="54">
        <f>IF(L$274=High_risk_cap,'Cost Schedule'!$D$61,IF('Beneficiation Facility'!L274=Medium_risk_cap,'Cost Schedule'!$D$60,IF('Beneficiation Facility'!L274=Low_risk_cap,'Cost Schedule'!$D$59,IF('Beneficiation Facility'!L274=Very_Low_risk_cap,'Cost Schedule'!$D$58,"E"))))</f>
        <v>2075</v>
      </c>
      <c r="M497" s="54">
        <f>IF(M$274=High_risk_cap,'Cost Schedule'!$D$61,IF('Beneficiation Facility'!M274=Medium_risk_cap,'Cost Schedule'!$D$60,IF('Beneficiation Facility'!M274=Low_risk_cap,'Cost Schedule'!$D$59,IF('Beneficiation Facility'!M274=Very_Low_risk_cap,'Cost Schedule'!$D$58,"E"))))</f>
        <v>2075</v>
      </c>
      <c r="N497" s="54">
        <f>IF(N$274=High_risk_cap,'Cost Schedule'!$D$61,IF('Beneficiation Facility'!N274=Medium_risk_cap,'Cost Schedule'!$D$60,IF('Beneficiation Facility'!N274=Low_risk_cap,'Cost Schedule'!$D$59,IF('Beneficiation Facility'!N274=Very_Low_risk_cap,'Cost Schedule'!$D$58,"E"))))</f>
        <v>2075</v>
      </c>
      <c r="O497" s="54">
        <f>IF(O$274=High_risk_cap,'Cost Schedule'!$D$61,IF('Beneficiation Facility'!O274=Medium_risk_cap,'Cost Schedule'!$D$60,IF('Beneficiation Facility'!O274=Low_risk_cap,'Cost Schedule'!$D$59,IF('Beneficiation Facility'!O274=Very_Low_risk_cap,'Cost Schedule'!$D$58,"E"))))</f>
        <v>2075</v>
      </c>
      <c r="P497" s="54">
        <f>IF(P$274=High_risk_cap,'Cost Schedule'!$D$61,IF('Beneficiation Facility'!P274=Medium_risk_cap,'Cost Schedule'!$D$60,IF('Beneficiation Facility'!P274=Low_risk_cap,'Cost Schedule'!$D$59,IF('Beneficiation Facility'!P274=Very_Low_risk_cap,'Cost Schedule'!$D$58,"E"))))</f>
        <v>2075</v>
      </c>
      <c r="Q497" s="504"/>
      <c r="R497" s="55"/>
    </row>
    <row r="498" spans="2:18" hidden="1">
      <c r="B498" s="94" t="s">
        <v>533</v>
      </c>
      <c r="C498" s="178"/>
      <c r="D498" s="162"/>
      <c r="E498" s="180" t="s">
        <v>229</v>
      </c>
      <c r="F498" s="28" t="s">
        <v>329</v>
      </c>
      <c r="G498" s="414"/>
      <c r="H498" s="414"/>
      <c r="I498" s="414"/>
      <c r="J498" s="414"/>
      <c r="K498" s="414"/>
      <c r="L498" s="414"/>
      <c r="M498" s="414"/>
      <c r="N498" s="414"/>
      <c r="O498" s="414"/>
      <c r="P498" s="414"/>
      <c r="Q498" s="504"/>
      <c r="R498" s="49"/>
    </row>
    <row r="499" spans="2:18" hidden="1">
      <c r="B499" s="94" t="s">
        <v>533</v>
      </c>
      <c r="C499" s="179"/>
      <c r="D499" s="163"/>
      <c r="E499" s="176" t="s">
        <v>833</v>
      </c>
      <c r="F499" s="28" t="s">
        <v>207</v>
      </c>
      <c r="G499" s="126">
        <f t="shared" ref="G499:P499" si="284">IF(G498="",G497,G498)*G491</f>
        <v>0</v>
      </c>
      <c r="H499" s="126">
        <f t="shared" si="284"/>
        <v>0</v>
      </c>
      <c r="I499" s="126">
        <f t="shared" si="284"/>
        <v>0</v>
      </c>
      <c r="J499" s="126">
        <f t="shared" si="284"/>
        <v>0</v>
      </c>
      <c r="K499" s="126">
        <f t="shared" si="284"/>
        <v>0</v>
      </c>
      <c r="L499" s="126">
        <f t="shared" si="284"/>
        <v>0</v>
      </c>
      <c r="M499" s="126">
        <f t="shared" si="284"/>
        <v>0</v>
      </c>
      <c r="N499" s="126">
        <f t="shared" si="284"/>
        <v>0</v>
      </c>
      <c r="O499" s="126">
        <f t="shared" si="284"/>
        <v>0</v>
      </c>
      <c r="P499" s="126">
        <f t="shared" si="284"/>
        <v>0</v>
      </c>
      <c r="Q499" s="504"/>
      <c r="R499" s="49"/>
    </row>
    <row r="500" spans="2:18" ht="12" hidden="1" thickBot="1">
      <c r="B500" s="94" t="s">
        <v>533</v>
      </c>
      <c r="C500" s="209"/>
      <c r="D500" s="188"/>
      <c r="E500" s="205" t="str">
        <f>CONCATENATE(C489," and ",C497)</f>
        <v>Permeability testing and Engineering</v>
      </c>
      <c r="F500" s="72"/>
      <c r="G500" s="64">
        <f t="shared" ref="G500:P500" si="285">G499+G496</f>
        <v>0</v>
      </c>
      <c r="H500" s="64">
        <f t="shared" si="285"/>
        <v>0</v>
      </c>
      <c r="I500" s="64">
        <f t="shared" si="285"/>
        <v>0</v>
      </c>
      <c r="J500" s="64">
        <f t="shared" si="285"/>
        <v>0</v>
      </c>
      <c r="K500" s="64">
        <f t="shared" si="285"/>
        <v>0</v>
      </c>
      <c r="L500" s="64">
        <f t="shared" si="285"/>
        <v>0</v>
      </c>
      <c r="M500" s="64">
        <f t="shared" si="285"/>
        <v>0</v>
      </c>
      <c r="N500" s="64">
        <f t="shared" si="285"/>
        <v>0</v>
      </c>
      <c r="O500" s="64">
        <f t="shared" si="285"/>
        <v>0</v>
      </c>
      <c r="P500" s="64">
        <f t="shared" si="285"/>
        <v>0</v>
      </c>
      <c r="Q500" s="504"/>
      <c r="R500" s="49"/>
    </row>
    <row r="501" spans="2:18" collapsed="1">
      <c r="B501" s="94" t="s">
        <v>123</v>
      </c>
    </row>
  </sheetData>
  <sheetProtection algorithmName="SHA-512" hashValue="gqJfCivYeOOwotM0xNliAnKMaBN2otaEzF2EPdzVRMWt6kVy8VXar6FAzWtU3G8P/orBC2tkfq0pGgTfMdyDVw==" saltValue="b7bZ8vbO6AMKgvO8q7F2Eg==" spinCount="100000" sheet="1" objects="1" scenarios="1" autoFilter="0"/>
  <autoFilter ref="B270:B501" xr:uid="{7D6182AF-7953-4BCF-AC22-865AE48E5A41}">
    <filterColumn colId="0">
      <filters>
        <filter val="Select"/>
      </filters>
    </filterColumn>
  </autoFilter>
  <phoneticPr fontId="21" type="noConversion"/>
  <conditionalFormatting sqref="G330:O330">
    <cfRule type="notContainsBlanks" dxfId="300" priority="41">
      <formula>LEN(TRIM(G330))&gt;0</formula>
    </cfRule>
  </conditionalFormatting>
  <conditionalFormatting sqref="G361:O361">
    <cfRule type="notContainsBlanks" dxfId="299" priority="35">
      <formula>LEN(TRIM(G361))&gt;0</formula>
    </cfRule>
  </conditionalFormatting>
  <conditionalFormatting sqref="G367:O367">
    <cfRule type="notContainsBlanks" dxfId="298" priority="33">
      <formula>LEN(TRIM(G367))&gt;0</formula>
    </cfRule>
  </conditionalFormatting>
  <conditionalFormatting sqref="G14:P14">
    <cfRule type="notContainsBlanks" dxfId="297" priority="77">
      <formula>LEN(TRIM(G14))&gt;0</formula>
    </cfRule>
  </conditionalFormatting>
  <conditionalFormatting sqref="G20:P20">
    <cfRule type="notContainsBlanks" dxfId="296" priority="76">
      <formula>LEN(TRIM(G20))&gt;0</formula>
    </cfRule>
  </conditionalFormatting>
  <conditionalFormatting sqref="G82:P82">
    <cfRule type="notContainsBlanks" dxfId="295" priority="75">
      <formula>LEN(TRIM(G82))&gt;0</formula>
    </cfRule>
  </conditionalFormatting>
  <conditionalFormatting sqref="G86:P86">
    <cfRule type="notContainsBlanks" dxfId="294" priority="74">
      <formula>LEN(TRIM(G86))&gt;0</formula>
    </cfRule>
  </conditionalFormatting>
  <conditionalFormatting sqref="G91:P91">
    <cfRule type="notContainsBlanks" dxfId="293" priority="73">
      <formula>LEN(TRIM(G91))&gt;0</formula>
    </cfRule>
  </conditionalFormatting>
  <conditionalFormatting sqref="G96:P96">
    <cfRule type="notContainsBlanks" dxfId="292" priority="72">
      <formula>LEN(TRIM(G96))&gt;0</formula>
    </cfRule>
  </conditionalFormatting>
  <conditionalFormatting sqref="G103:P103">
    <cfRule type="notContainsBlanks" dxfId="291" priority="71">
      <formula>LEN(TRIM(G103))&gt;0</formula>
    </cfRule>
  </conditionalFormatting>
  <conditionalFormatting sqref="G109:P109">
    <cfRule type="notContainsBlanks" dxfId="290" priority="70">
      <formula>LEN(TRIM(G109))&gt;0</formula>
    </cfRule>
  </conditionalFormatting>
  <conditionalFormatting sqref="G163:P163">
    <cfRule type="notContainsBlanks" dxfId="289" priority="12">
      <formula>LEN(TRIM(G163))&gt;0</formula>
    </cfRule>
  </conditionalFormatting>
  <conditionalFormatting sqref="G167:P167">
    <cfRule type="notContainsBlanks" dxfId="288" priority="11">
      <formula>LEN(TRIM(G167))&gt;0</formula>
    </cfRule>
  </conditionalFormatting>
  <conditionalFormatting sqref="G183:P183">
    <cfRule type="notContainsBlanks" dxfId="287" priority="69">
      <formula>LEN(TRIM(G183))&gt;0</formula>
    </cfRule>
  </conditionalFormatting>
  <conditionalFormatting sqref="G187:P187">
    <cfRule type="notContainsBlanks" dxfId="286" priority="68">
      <formula>LEN(TRIM(G187))&gt;0</formula>
    </cfRule>
  </conditionalFormatting>
  <conditionalFormatting sqref="G191:P191">
    <cfRule type="notContainsBlanks" dxfId="285" priority="67">
      <formula>LEN(TRIM(G191))&gt;0</formula>
    </cfRule>
  </conditionalFormatting>
  <conditionalFormatting sqref="G199:P199">
    <cfRule type="notContainsBlanks" dxfId="284" priority="66">
      <formula>LEN(TRIM(G199))&gt;0</formula>
    </cfRule>
  </conditionalFormatting>
  <conditionalFormatting sqref="G203:P203">
    <cfRule type="notContainsBlanks" dxfId="283" priority="65">
      <formula>LEN(TRIM(G203))&gt;0</formula>
    </cfRule>
  </conditionalFormatting>
  <conditionalFormatting sqref="G205:P205">
    <cfRule type="notContainsBlanks" dxfId="282" priority="64">
      <formula>LEN(TRIM(G205))&gt;0</formula>
    </cfRule>
  </conditionalFormatting>
  <conditionalFormatting sqref="G216:P216">
    <cfRule type="notContainsBlanks" dxfId="281" priority="10">
      <formula>LEN(TRIM(G216))&gt;0</formula>
    </cfRule>
  </conditionalFormatting>
  <conditionalFormatting sqref="G222:P222">
    <cfRule type="notContainsBlanks" dxfId="280" priority="57">
      <formula>LEN(TRIM(G222))&gt;0</formula>
    </cfRule>
  </conditionalFormatting>
  <conditionalFormatting sqref="G235:P235">
    <cfRule type="notContainsBlanks" dxfId="279" priority="56">
      <formula>LEN(TRIM(G235))&gt;0</formula>
    </cfRule>
  </conditionalFormatting>
  <conditionalFormatting sqref="G238:P238">
    <cfRule type="notContainsBlanks" dxfId="278" priority="55">
      <formula>LEN(TRIM(G238))&gt;0</formula>
    </cfRule>
  </conditionalFormatting>
  <conditionalFormatting sqref="G243:P243">
    <cfRule type="notContainsBlanks" dxfId="277" priority="54">
      <formula>LEN(TRIM(G243))&gt;0</formula>
    </cfRule>
  </conditionalFormatting>
  <conditionalFormatting sqref="G249:P249">
    <cfRule type="notContainsBlanks" dxfId="276" priority="53">
      <formula>LEN(TRIM(G249))&gt;0</formula>
    </cfRule>
  </conditionalFormatting>
  <conditionalFormatting sqref="G255:P255">
    <cfRule type="notContainsBlanks" dxfId="275" priority="52">
      <formula>LEN(TRIM(G255))&gt;0</formula>
    </cfRule>
  </conditionalFormatting>
  <conditionalFormatting sqref="G260:P260">
    <cfRule type="notContainsBlanks" dxfId="274" priority="51">
      <formula>LEN(TRIM(G260))&gt;0</formula>
    </cfRule>
  </conditionalFormatting>
  <conditionalFormatting sqref="G285:P285">
    <cfRule type="notContainsBlanks" dxfId="273" priority="50">
      <formula>LEN(TRIM(G285))&gt;0</formula>
    </cfRule>
  </conditionalFormatting>
  <conditionalFormatting sqref="G289:P289">
    <cfRule type="notContainsBlanks" dxfId="272" priority="49">
      <formula>LEN(TRIM(G289))&gt;0</formula>
    </cfRule>
  </conditionalFormatting>
  <conditionalFormatting sqref="G293:P293">
    <cfRule type="notContainsBlanks" dxfId="271" priority="48">
      <formula>LEN(TRIM(G293))&gt;0</formula>
    </cfRule>
  </conditionalFormatting>
  <conditionalFormatting sqref="G304:P304">
    <cfRule type="notContainsBlanks" dxfId="270" priority="46">
      <formula>LEN(TRIM(G304))&gt;0</formula>
    </cfRule>
  </conditionalFormatting>
  <conditionalFormatting sqref="G308:P308">
    <cfRule type="notContainsBlanks" dxfId="269" priority="45">
      <formula>LEN(TRIM(G308))&gt;0</formula>
    </cfRule>
  </conditionalFormatting>
  <conditionalFormatting sqref="G312:P312">
    <cfRule type="notContainsBlanks" dxfId="268" priority="44">
      <formula>LEN(TRIM(G312))&gt;0</formula>
    </cfRule>
  </conditionalFormatting>
  <conditionalFormatting sqref="G323:P323">
    <cfRule type="notContainsBlanks" dxfId="267" priority="43">
      <formula>LEN(TRIM(G323))&gt;0</formula>
    </cfRule>
  </conditionalFormatting>
  <conditionalFormatting sqref="G326:P326">
    <cfRule type="notContainsBlanks" dxfId="266" priority="42">
      <formula>LEN(TRIM(G326))&gt;0</formula>
    </cfRule>
  </conditionalFormatting>
  <conditionalFormatting sqref="G333:P333">
    <cfRule type="notContainsBlanks" dxfId="265" priority="40">
      <formula>LEN(TRIM(G333))&gt;0</formula>
    </cfRule>
  </conditionalFormatting>
  <conditionalFormatting sqref="G346:P346">
    <cfRule type="notContainsBlanks" dxfId="264" priority="39">
      <formula>LEN(TRIM(G346))&gt;0</formula>
    </cfRule>
  </conditionalFormatting>
  <conditionalFormatting sqref="G350:P350">
    <cfRule type="notContainsBlanks" dxfId="263" priority="38">
      <formula>LEN(TRIM(G350))&gt;0</formula>
    </cfRule>
  </conditionalFormatting>
  <conditionalFormatting sqref="G353:P353">
    <cfRule type="notContainsBlanks" dxfId="262" priority="37">
      <formula>LEN(TRIM(G353))&gt;0</formula>
    </cfRule>
  </conditionalFormatting>
  <conditionalFormatting sqref="G357:P357">
    <cfRule type="notContainsBlanks" dxfId="261" priority="36">
      <formula>LEN(TRIM(G357))&gt;0</formula>
    </cfRule>
  </conditionalFormatting>
  <conditionalFormatting sqref="G364:P364">
    <cfRule type="notContainsBlanks" dxfId="260" priority="34">
      <formula>LEN(TRIM(G364))&gt;0</formula>
    </cfRule>
  </conditionalFormatting>
  <conditionalFormatting sqref="G370:P370">
    <cfRule type="notContainsBlanks" dxfId="259" priority="32">
      <formula>LEN(TRIM(G370))&gt;0</formula>
    </cfRule>
  </conditionalFormatting>
  <conditionalFormatting sqref="G382:P382">
    <cfRule type="notContainsBlanks" dxfId="258" priority="31">
      <formula>LEN(TRIM(G382))&gt;0</formula>
    </cfRule>
  </conditionalFormatting>
  <conditionalFormatting sqref="G386:P386">
    <cfRule type="notContainsBlanks" dxfId="257" priority="30">
      <formula>LEN(TRIM(G386))&gt;0</formula>
    </cfRule>
  </conditionalFormatting>
  <conditionalFormatting sqref="G393:P393">
    <cfRule type="notContainsBlanks" dxfId="256" priority="29">
      <formula>LEN(TRIM(G393))&gt;0</formula>
    </cfRule>
  </conditionalFormatting>
  <conditionalFormatting sqref="G399:P399">
    <cfRule type="notContainsBlanks" dxfId="255" priority="28">
      <formula>LEN(TRIM(G399))&gt;0</formula>
    </cfRule>
  </conditionalFormatting>
  <conditionalFormatting sqref="G405:P405">
    <cfRule type="notContainsBlanks" dxfId="254" priority="27">
      <formula>LEN(TRIM(G405))&gt;0</formula>
    </cfRule>
  </conditionalFormatting>
  <conditionalFormatting sqref="G413:P413">
    <cfRule type="notContainsBlanks" dxfId="253" priority="26">
      <formula>LEN(TRIM(G413))&gt;0</formula>
    </cfRule>
  </conditionalFormatting>
  <conditionalFormatting sqref="G417:P417">
    <cfRule type="notContainsBlanks" dxfId="252" priority="25">
      <formula>LEN(TRIM(G417))&gt;0</formula>
    </cfRule>
  </conditionalFormatting>
  <conditionalFormatting sqref="G431:P431">
    <cfRule type="notContainsBlanks" dxfId="251" priority="3">
      <formula>LEN(TRIM(G431))&gt;0</formula>
    </cfRule>
  </conditionalFormatting>
  <conditionalFormatting sqref="G435:P435">
    <cfRule type="notContainsBlanks" dxfId="250" priority="2">
      <formula>LEN(TRIM(G435))&gt;0</formula>
    </cfRule>
  </conditionalFormatting>
  <conditionalFormatting sqref="G439:P439">
    <cfRule type="notContainsBlanks" dxfId="249" priority="1">
      <formula>LEN(TRIM(G439))&gt;0</formula>
    </cfRule>
  </conditionalFormatting>
  <conditionalFormatting sqref="G449:P449">
    <cfRule type="notContainsBlanks" dxfId="248" priority="22">
      <formula>LEN(TRIM(G449))&gt;0</formula>
    </cfRule>
  </conditionalFormatting>
  <conditionalFormatting sqref="G454:P454">
    <cfRule type="notContainsBlanks" dxfId="247" priority="21">
      <formula>LEN(TRIM(G454))&gt;0</formula>
    </cfRule>
  </conditionalFormatting>
  <conditionalFormatting sqref="G464:P464">
    <cfRule type="notContainsBlanks" dxfId="246" priority="9">
      <formula>LEN(TRIM(G464))&gt;0</formula>
    </cfRule>
  </conditionalFormatting>
  <conditionalFormatting sqref="G470:P470">
    <cfRule type="notContainsBlanks" dxfId="245" priority="8">
      <formula>LEN(TRIM(G470))&gt;0</formula>
    </cfRule>
  </conditionalFormatting>
  <conditionalFormatting sqref="G474:P474">
    <cfRule type="notContainsBlanks" dxfId="244" priority="7">
      <formula>LEN(TRIM(G474))&gt;0</formula>
    </cfRule>
  </conditionalFormatting>
  <conditionalFormatting sqref="G478:P478">
    <cfRule type="notContainsBlanks" dxfId="243" priority="6">
      <formula>LEN(TRIM(G478))&gt;0</formula>
    </cfRule>
  </conditionalFormatting>
  <conditionalFormatting sqref="G482:P482">
    <cfRule type="notContainsBlanks" dxfId="242" priority="5">
      <formula>LEN(TRIM(G482))&gt;0</formula>
    </cfRule>
  </conditionalFormatting>
  <conditionalFormatting sqref="G486:P486">
    <cfRule type="notContainsBlanks" dxfId="241" priority="4">
      <formula>LEN(TRIM(G486))&gt;0</formula>
    </cfRule>
  </conditionalFormatting>
  <conditionalFormatting sqref="G495:P495">
    <cfRule type="notContainsBlanks" dxfId="240" priority="14">
      <formula>LEN(TRIM(G495))&gt;0</formula>
    </cfRule>
  </conditionalFormatting>
  <conditionalFormatting sqref="G498:P498">
    <cfRule type="notContainsBlanks" dxfId="239" priority="13">
      <formula>LEN(TRIM(G498))&gt;0</formula>
    </cfRule>
  </conditionalFormatting>
  <dataValidations count="30">
    <dataValidation type="list" allowBlank="1" showInputMessage="1" showErrorMessage="1" sqref="G445:P445 G195:P195" xr:uid="{EFFC0E1C-670F-43A3-AB8F-8191D5FCD3B3}">
      <formula1>Ameliorants_soil_L</formula1>
    </dataValidation>
    <dataValidation type="list" allowBlank="1" showInputMessage="1" showErrorMessage="1" sqref="G348:P348 G283:P283 G328:P328 G306:P306" xr:uid="{156D4A3D-7035-45A3-A6A6-C3F179922C04}">
      <formula1>Load_haul_fill_names_CS</formula1>
    </dataValidation>
    <dataValidation type="list" allowBlank="1" showInputMessage="1" showErrorMessage="1" sqref="G287:P287 G310:P310" xr:uid="{072928F8-340E-4FDE-A2D9-1D94AB9E2C4A}">
      <formula1>Dozer_push_names_CS</formula1>
    </dataValidation>
    <dataValidation type="list" allowBlank="1" showInputMessage="1" showErrorMessage="1" sqref="G451:P451 G231:P231 G201:P201 G181:Q181 G429:Q429" xr:uid="{2FD123F2-ED68-4A58-A287-F4F6716CD93A}">
      <formula1>Long_haul_soil_amend_names_volume_CS</formula1>
    </dataValidation>
    <dataValidation type="list" allowBlank="1" showInputMessage="1" showErrorMessage="1" sqref="G291:P291 G384:P384 G161:P161" xr:uid="{6D488F47-D463-43EC-9ADE-5A1748F81D50}">
      <formula1>Dozer_shape_doze_for_drainage_names_CS</formula1>
    </dataValidation>
    <dataValidation type="list" allowBlank="1" showInputMessage="1" showErrorMessage="1" sqref="G359:P359 G165:P165" xr:uid="{1F07873A-8BFD-4DBA-A793-038B25C21276}">
      <formula1>Grader_trim_names_CS</formula1>
    </dataValidation>
    <dataValidation type="list" allowBlank="1" showInputMessage="1" showErrorMessage="1" sqref="G344:P344" xr:uid="{4CB19F50-AB62-4779-9321-AC57B1913CCE}">
      <formula1>Clay_source</formula1>
    </dataValidation>
    <dataValidation type="list" allowBlank="1" showInputMessage="1" showErrorMessage="1" sqref="G355:P355" xr:uid="{A2FC7B16-0450-4319-8793-52DF4D5BA364}">
      <formula1>Long_haul_clay_names_CS</formula1>
    </dataValidation>
    <dataValidation type="list" allowBlank="1" showInputMessage="1" showErrorMessage="1" sqref="G411:P411" xr:uid="{2EB4038E-5EBA-493D-9C43-55497400C3DE}">
      <formula1>Drains_names_CS</formula1>
    </dataValidation>
    <dataValidation type="list" allowBlank="1" showInputMessage="1" showErrorMessage="1" sqref="G380:P380 G257:P257" xr:uid="{6941CD0A-2668-4509-B8B6-8B60FC362A84}">
      <formula1>Load_haul_stabilised_names_CS</formula1>
    </dataValidation>
    <dataValidation type="list" allowBlank="1" showInputMessage="1" showErrorMessage="1" sqref="G189:Q189 G437:Q437" xr:uid="{A4520863-E312-4A23-B78E-94796A2DC1E6}">
      <formula1>Load_haul_soil_names_CS</formula1>
    </dataValidation>
    <dataValidation type="list" allowBlank="1" showInputMessage="1" showErrorMessage="1" sqref="G11:P11" xr:uid="{3507D9C0-C189-4E7B-AB6F-850FE0F9B8C7}">
      <formula1>HLP_names_CS</formula1>
    </dataValidation>
    <dataValidation type="list" allowBlank="1" showInputMessage="1" showErrorMessage="1" sqref="G274:P274" xr:uid="{7DC0D4DB-0624-4F43-B777-1D54173FF38B}">
      <formula1>Capping_risk_level_HLP_L</formula1>
    </dataValidation>
    <dataValidation type="list" allowBlank="1" showInputMessage="1" showErrorMessage="1" sqref="G17:P17" xr:uid="{5E127277-002B-48FD-9C05-876FFBBD5C34}">
      <formula1>Tanks_vessels_names_CS</formula1>
    </dataValidation>
    <dataValidation type="list" allowBlank="1" showInputMessage="1" showErrorMessage="1" sqref="G106:P106" xr:uid="{634F545B-AD93-46F7-9751-223EFF3AE44F}">
      <formula1>Pipelines_names_CS</formula1>
    </dataValidation>
    <dataValidation type="list" allowBlank="1" showInputMessage="1" showErrorMessage="1" sqref="G79:P79" xr:uid="{A2DF207A-282E-46A5-816D-708E95ECAE49}">
      <formula1>Loading_names_CS</formula1>
    </dataValidation>
    <dataValidation type="list" allowBlank="1" showInputMessage="1" showErrorMessage="1" sqref="G88:P88" xr:uid="{87EAA27D-132F-4DF1-A643-6D887870EED1}">
      <formula1>Conveyors_tunnels_names_CS</formula1>
    </dataValidation>
    <dataValidation type="list" allowBlank="1" showInputMessage="1" showErrorMessage="1" sqref="G99:P99" xr:uid="{34F855B7-C918-4B67-A195-FD61C974D506}">
      <formula1>Buildings_beneficiation_names_CS</formula1>
    </dataValidation>
    <dataValidation type="list" allowBlank="1" showInputMessage="1" showErrorMessage="1" sqref="G251:P251" xr:uid="{67E60722-8051-47CB-A8B6-5446AE262E8A}">
      <formula1>Contaminated_soil_names_CS</formula1>
    </dataValidation>
    <dataValidation type="list" allowBlank="1" showInputMessage="1" showErrorMessage="1" sqref="G240:P240" xr:uid="{FA6EFC18-C595-4936-AFA4-27C3999CA560}">
      <formula1>Waste_levy_names_R</formula1>
    </dataValidation>
    <dataValidation type="list" allowBlank="1" showInputMessage="1" showErrorMessage="1" sqref="G185:P185 G433:P433" xr:uid="{A9F7C3D4-6581-4872-B544-9FDF5342726A}">
      <formula1>Growth_media_fill_names_R</formula1>
    </dataValidation>
    <dataValidation type="list" allowBlank="1" showInputMessage="1" showErrorMessage="1" sqref="G225:P225" xr:uid="{12F34C60-BEE1-4124-87D1-6EBD91899DE0}">
      <formula1>Waste_names_L</formula1>
    </dataValidation>
    <dataValidation type="list" allowBlank="1" showInputMessage="1" showErrorMessage="1" sqref="G219:P219" xr:uid="{9F520EE9-9194-431D-9E0E-1CFA5859BDAB}">
      <formula1>Maintenance_rehab_areas_names_CS</formula1>
    </dataValidation>
    <dataValidation type="list" allowBlank="1" showInputMessage="1" showErrorMessage="1" sqref="G214:P214" xr:uid="{DC0D2B1C-AE92-4248-AC71-CB26FFD886A5}">
      <formula1>Plant_and_seed_names_CS</formula1>
    </dataValidation>
    <dataValidation type="list" allowBlank="1" showInputMessage="1" showErrorMessage="1" sqref="G484:P484" xr:uid="{DDE35781-2A67-424E-B56C-1AE444855DD2}">
      <formula1>Plant_and_seed_apply_water_names_CS</formula1>
    </dataValidation>
    <dataValidation type="list" allowBlank="1" showInputMessage="1" showErrorMessage="1" sqref="G480:P480" xr:uid="{D20AFB06-E99C-421C-A3A4-368B9F843227}">
      <formula1>Plant_and_seed_buy_water_names_CS</formula1>
    </dataValidation>
    <dataValidation type="list" allowBlank="1" showInputMessage="1" showErrorMessage="1" sqref="G476:P476" xr:uid="{6E3E1086-9249-4AB7-ADEE-E69EC6B0D8C4}">
      <formula1>Plant_and_seed_apply_fertiliser_names_CS</formula1>
    </dataValidation>
    <dataValidation type="list" allowBlank="1" showInputMessage="1" showErrorMessage="1" sqref="G472:P472" xr:uid="{7132F6DE-0F02-473D-90B6-0EBDBA25492A}">
      <formula1>Plant_and_seed_fertiliser_buy_names_CS</formula1>
    </dataValidation>
    <dataValidation type="list" allowBlank="1" showInputMessage="1" showErrorMessage="1" sqref="G468:P468" xr:uid="{90BFAA29-425F-4765-B49D-F52EFD696C51}">
      <formula1>Plant_and_seed_apply_plant_names_CS</formula1>
    </dataValidation>
    <dataValidation type="list" allowBlank="1" showInputMessage="1" showErrorMessage="1" sqref="G461:P461" xr:uid="{DD769F39-C6DB-41E7-91C5-E443A4859734}">
      <formula1>Plant_and_seed_list_L</formula1>
    </dataValidation>
  </dataValidations>
  <hyperlinks>
    <hyperlink ref="E5" location="RCE_Summary" display="RCE Summary" xr:uid="{3F15F8C4-F542-4E01-B826-3AA2195D43BC}"/>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7F12D-CD58-4E22-B441-2CEE0DA5638B}">
  <sheetPr codeName="Sheet8" filterMode="1">
    <tabColor theme="9" tint="-0.249977111117893"/>
  </sheetPr>
  <dimension ref="B2:R317"/>
  <sheetViews>
    <sheetView showGridLines="0" zoomScaleNormal="100" workbookViewId="0">
      <pane xSplit="6" ySplit="8" topLeftCell="G9" activePane="bottomRight" state="frozen"/>
      <selection pane="topRight" activeCell="I1" sqref="I1"/>
      <selection pane="bottomLeft" activeCell="A9" sqref="A9"/>
      <selection pane="bottomRight" activeCell="H19" sqref="H19"/>
    </sheetView>
  </sheetViews>
  <sheetFormatPr defaultColWidth="8.7109375" defaultRowHeight="11.25"/>
  <cols>
    <col min="1" max="1" width="2.42578125" style="28" customWidth="1"/>
    <col min="2" max="2" width="4.5703125" style="3" customWidth="1"/>
    <col min="3" max="3" width="37.42578125" style="28" customWidth="1"/>
    <col min="4" max="4" width="27.28515625" style="28" customWidth="1"/>
    <col min="5" max="5" width="29.140625" style="28" customWidth="1"/>
    <col min="6" max="6" width="14.7109375" style="28" customWidth="1"/>
    <col min="7" max="15" width="13.28515625" style="3" customWidth="1"/>
    <col min="16" max="16" width="14.140625" style="3" bestFit="1" customWidth="1"/>
    <col min="17" max="18" width="76.85546875" style="28" customWidth="1"/>
    <col min="19" max="19" width="34.5703125" style="28" customWidth="1"/>
    <col min="20" max="20" width="36.7109375" style="28" customWidth="1"/>
    <col min="21" max="16384" width="8.7109375" style="28"/>
  </cols>
  <sheetData>
    <row r="2" spans="2:18" ht="24.95" customHeight="1">
      <c r="C2" s="317" t="str">
        <f>Name_main</f>
        <v>Rehabilitation Cost Estimate Tool - Mining New South Wales</v>
      </c>
    </row>
    <row r="3" spans="2:18" ht="12" thickBot="1">
      <c r="C3" s="318" t="str">
        <f>CONCATENATE(CompanyName," - ",Mine_Name)</f>
        <v>Boral Cement - Marulan South Limestone Mine</v>
      </c>
      <c r="G3" s="473"/>
      <c r="H3" s="473"/>
      <c r="I3" s="473"/>
      <c r="J3" s="473"/>
    </row>
    <row r="4" spans="2:18" ht="12.75" thickTop="1" thickBot="1">
      <c r="C4" s="319" t="s">
        <v>182</v>
      </c>
      <c r="D4" s="320">
        <f>Grand_total</f>
        <v>27655414.430474937</v>
      </c>
      <c r="F4" s="323" t="s">
        <v>835</v>
      </c>
      <c r="G4" s="519">
        <f>IF(G39=0,0,SUM(G75,G94,G115,G152,G168,G198,G210,G232,G249,G280,G292,G298,G310,G316)/G39)</f>
        <v>0</v>
      </c>
      <c r="H4" s="519">
        <f t="shared" ref="H4:P4" si="0">IF(H39=0,0,SUM(H75,H94,H115,H152,H168,H198,H210,H232,H249,H280,H292,H298,H310,H316)/H39)</f>
        <v>0</v>
      </c>
      <c r="I4" s="519">
        <f t="shared" si="0"/>
        <v>0</v>
      </c>
      <c r="J4" s="519">
        <f t="shared" si="0"/>
        <v>0</v>
      </c>
      <c r="K4" s="519">
        <f t="shared" si="0"/>
        <v>0</v>
      </c>
      <c r="L4" s="519">
        <f t="shared" si="0"/>
        <v>0</v>
      </c>
      <c r="M4" s="519">
        <f t="shared" si="0"/>
        <v>0</v>
      </c>
      <c r="N4" s="519">
        <f t="shared" si="0"/>
        <v>0</v>
      </c>
      <c r="O4" s="519">
        <f t="shared" si="0"/>
        <v>0</v>
      </c>
      <c r="P4" s="519">
        <f t="shared" si="0"/>
        <v>0</v>
      </c>
    </row>
    <row r="5" spans="2:18" ht="12.75" thickTop="1" thickBot="1">
      <c r="C5" s="321" t="s">
        <v>87</v>
      </c>
      <c r="D5" s="322">
        <f>SUM(G6:P6)</f>
        <v>0</v>
      </c>
      <c r="E5" s="393" t="s">
        <v>1</v>
      </c>
      <c r="F5" s="323" t="s">
        <v>836</v>
      </c>
      <c r="G5" s="519">
        <f t="shared" ref="G5" si="1">IF(G12=0,0,G30/(G12))</f>
        <v>0</v>
      </c>
      <c r="H5" s="519">
        <f t="shared" ref="H5:P5" si="2">IF(H12=0,0,H30/(H12))</f>
        <v>0</v>
      </c>
      <c r="I5" s="519">
        <f t="shared" si="2"/>
        <v>0</v>
      </c>
      <c r="J5" s="519">
        <f t="shared" si="2"/>
        <v>0</v>
      </c>
      <c r="K5" s="519">
        <f t="shared" si="2"/>
        <v>0</v>
      </c>
      <c r="L5" s="519">
        <f t="shared" si="2"/>
        <v>0</v>
      </c>
      <c r="M5" s="519">
        <f t="shared" si="2"/>
        <v>0</v>
      </c>
      <c r="N5" s="519">
        <f t="shared" si="2"/>
        <v>0</v>
      </c>
      <c r="O5" s="519">
        <f t="shared" si="2"/>
        <v>0</v>
      </c>
      <c r="P5" s="519">
        <f t="shared" si="2"/>
        <v>0</v>
      </c>
    </row>
    <row r="6" spans="2:18" ht="12.75" thickTop="1" thickBot="1">
      <c r="F6" s="323" t="s">
        <v>691</v>
      </c>
      <c r="G6" s="324">
        <f t="shared" ref="G6:P6" si="3">G30+G75+G94+G115+G152+G168+G198+G210+G232+G249+G280+G292+G298+G310+G316</f>
        <v>0</v>
      </c>
      <c r="H6" s="324">
        <f t="shared" si="3"/>
        <v>0</v>
      </c>
      <c r="I6" s="324">
        <f t="shared" si="3"/>
        <v>0</v>
      </c>
      <c r="J6" s="324">
        <f t="shared" si="3"/>
        <v>0</v>
      </c>
      <c r="K6" s="324">
        <f t="shared" si="3"/>
        <v>0</v>
      </c>
      <c r="L6" s="324">
        <f t="shared" si="3"/>
        <v>0</v>
      </c>
      <c r="M6" s="324">
        <f t="shared" si="3"/>
        <v>0</v>
      </c>
      <c r="N6" s="324">
        <f t="shared" si="3"/>
        <v>0</v>
      </c>
      <c r="O6" s="324">
        <f t="shared" si="3"/>
        <v>0</v>
      </c>
      <c r="P6" s="324">
        <f t="shared" si="3"/>
        <v>0</v>
      </c>
    </row>
    <row r="7" spans="2:18" ht="18" customHeight="1" thickTop="1">
      <c r="C7" s="476" t="s">
        <v>692</v>
      </c>
      <c r="G7" s="28"/>
      <c r="H7" s="28"/>
      <c r="I7" s="28"/>
      <c r="J7" s="28"/>
      <c r="K7" s="28"/>
      <c r="L7" s="28"/>
      <c r="M7" s="28"/>
      <c r="N7" s="28"/>
      <c r="O7" s="28"/>
      <c r="P7" s="28"/>
    </row>
    <row r="8" spans="2:18" ht="18" customHeight="1" thickBot="1">
      <c r="C8" s="520" t="s">
        <v>185</v>
      </c>
      <c r="D8" s="521" t="s">
        <v>186</v>
      </c>
      <c r="E8" s="521" t="s">
        <v>187</v>
      </c>
      <c r="F8" s="116" t="s">
        <v>592</v>
      </c>
      <c r="G8" s="501" t="s">
        <v>696</v>
      </c>
      <c r="H8" s="501" t="s">
        <v>696</v>
      </c>
      <c r="I8" s="501" t="s">
        <v>696</v>
      </c>
      <c r="J8" s="501" t="s">
        <v>696</v>
      </c>
      <c r="K8" s="501" t="s">
        <v>696</v>
      </c>
      <c r="L8" s="501" t="s">
        <v>696</v>
      </c>
      <c r="M8" s="501" t="s">
        <v>696</v>
      </c>
      <c r="N8" s="501" t="s">
        <v>696</v>
      </c>
      <c r="O8" s="501" t="s">
        <v>696</v>
      </c>
      <c r="P8" s="501" t="s">
        <v>696</v>
      </c>
      <c r="Q8" s="327" t="s">
        <v>190</v>
      </c>
      <c r="R8" s="328" t="s">
        <v>191</v>
      </c>
    </row>
    <row r="9" spans="2:18">
      <c r="C9" s="522" t="s">
        <v>124</v>
      </c>
      <c r="D9" s="395"/>
      <c r="E9" s="395"/>
      <c r="G9" s="397"/>
      <c r="H9" s="397"/>
      <c r="I9" s="397"/>
      <c r="J9" s="397"/>
      <c r="K9" s="397"/>
      <c r="L9" s="397"/>
      <c r="M9" s="397"/>
      <c r="N9" s="397"/>
      <c r="O9" s="397"/>
      <c r="P9" s="397"/>
      <c r="Q9" s="397"/>
      <c r="R9" s="329"/>
    </row>
    <row r="10" spans="2:18" ht="45">
      <c r="C10" s="369" t="s">
        <v>192</v>
      </c>
      <c r="D10" s="331" t="s">
        <v>697</v>
      </c>
      <c r="E10" s="332" t="s">
        <v>194</v>
      </c>
      <c r="G10" s="397"/>
      <c r="H10" s="397"/>
      <c r="I10" s="397"/>
      <c r="J10" s="397"/>
      <c r="K10" s="397"/>
      <c r="L10" s="397"/>
      <c r="M10" s="397"/>
      <c r="N10" s="397"/>
      <c r="O10" s="397"/>
      <c r="P10" s="397"/>
      <c r="Q10" s="401"/>
      <c r="R10" s="418" t="s">
        <v>195</v>
      </c>
    </row>
    <row r="11" spans="2:18" ht="33.75">
      <c r="C11" s="482" t="s">
        <v>837</v>
      </c>
      <c r="D11" s="336" t="s">
        <v>700</v>
      </c>
      <c r="E11" s="336" t="s">
        <v>701</v>
      </c>
      <c r="F11" s="28" t="s">
        <v>123</v>
      </c>
      <c r="G11" s="503" t="s">
        <v>838</v>
      </c>
      <c r="H11" s="503" t="s">
        <v>839</v>
      </c>
      <c r="I11" s="503" t="s">
        <v>840</v>
      </c>
      <c r="J11" s="503" t="s">
        <v>841</v>
      </c>
      <c r="K11" s="503" t="s">
        <v>842</v>
      </c>
      <c r="L11" s="503" t="s">
        <v>839</v>
      </c>
      <c r="M11" s="503" t="s">
        <v>839</v>
      </c>
      <c r="N11" s="503" t="s">
        <v>839</v>
      </c>
      <c r="O11" s="503" t="s">
        <v>839</v>
      </c>
      <c r="P11" s="503" t="s">
        <v>839</v>
      </c>
      <c r="Q11" s="397"/>
      <c r="R11" s="418"/>
    </row>
    <row r="12" spans="2:18">
      <c r="C12" s="340"/>
      <c r="D12" s="335" t="s">
        <v>705</v>
      </c>
      <c r="E12" s="336" t="s">
        <v>214</v>
      </c>
      <c r="F12" s="28" t="s">
        <v>299</v>
      </c>
      <c r="G12" s="455"/>
      <c r="H12" s="455"/>
      <c r="I12" s="455"/>
      <c r="J12" s="455"/>
      <c r="K12" s="455"/>
      <c r="L12" s="455"/>
      <c r="M12" s="455"/>
      <c r="N12" s="455"/>
      <c r="O12" s="455"/>
      <c r="P12" s="455"/>
      <c r="Q12" s="397"/>
      <c r="R12" s="418"/>
    </row>
    <row r="13" spans="2:18">
      <c r="C13" s="340"/>
      <c r="D13" s="335"/>
      <c r="E13" s="336" t="s">
        <v>204</v>
      </c>
      <c r="F13" s="28" t="s">
        <v>329</v>
      </c>
      <c r="G13" s="438">
        <f t="shared" ref="G13:P13" si="4">_xlfn.XLOOKUP(G11,TSF_names_CS,TSF_rates_CS)</f>
        <v>1078813.7929019369</v>
      </c>
      <c r="H13" s="438">
        <f t="shared" si="4"/>
        <v>415238.60894906265</v>
      </c>
      <c r="I13" s="438">
        <f t="shared" si="4"/>
        <v>225586.61835558742</v>
      </c>
      <c r="J13" s="438">
        <f t="shared" si="4"/>
        <v>140865.57449187711</v>
      </c>
      <c r="K13" s="438">
        <f t="shared" si="4"/>
        <v>32862.471978142385</v>
      </c>
      <c r="L13" s="438">
        <f t="shared" si="4"/>
        <v>415238.60894906265</v>
      </c>
      <c r="M13" s="438">
        <f t="shared" si="4"/>
        <v>415238.60894906265</v>
      </c>
      <c r="N13" s="438">
        <f t="shared" si="4"/>
        <v>415238.60894906265</v>
      </c>
      <c r="O13" s="438">
        <f t="shared" si="4"/>
        <v>415238.60894906265</v>
      </c>
      <c r="P13" s="438">
        <f t="shared" si="4"/>
        <v>415238.60894906265</v>
      </c>
      <c r="Q13" s="397"/>
      <c r="R13" s="329"/>
    </row>
    <row r="14" spans="2:18">
      <c r="C14" s="340"/>
      <c r="D14" s="335" t="s">
        <v>843</v>
      </c>
      <c r="E14" s="336" t="s">
        <v>206</v>
      </c>
      <c r="F14" s="28" t="s">
        <v>329</v>
      </c>
      <c r="G14" s="414"/>
      <c r="H14" s="414"/>
      <c r="I14" s="414"/>
      <c r="J14" s="414"/>
      <c r="K14" s="414"/>
      <c r="L14" s="414"/>
      <c r="M14" s="414"/>
      <c r="N14" s="414"/>
      <c r="O14" s="414"/>
      <c r="P14" s="414"/>
      <c r="Q14" s="397"/>
      <c r="R14" s="329"/>
    </row>
    <row r="15" spans="2:18">
      <c r="C15" s="343"/>
      <c r="D15" s="379" t="s">
        <v>757</v>
      </c>
      <c r="E15" s="523" t="s">
        <v>146</v>
      </c>
      <c r="F15" s="28" t="s">
        <v>207</v>
      </c>
      <c r="G15" s="380">
        <f>G12*IF(G14="",G13,G14)</f>
        <v>0</v>
      </c>
      <c r="H15" s="380">
        <f t="shared" ref="H15:P15" si="5">H12*IF(H14="",H13,H14)</f>
        <v>0</v>
      </c>
      <c r="I15" s="380">
        <f t="shared" si="5"/>
        <v>0</v>
      </c>
      <c r="J15" s="380">
        <f t="shared" si="5"/>
        <v>0</v>
      </c>
      <c r="K15" s="380">
        <f t="shared" si="5"/>
        <v>0</v>
      </c>
      <c r="L15" s="380">
        <f t="shared" si="5"/>
        <v>0</v>
      </c>
      <c r="M15" s="380">
        <f t="shared" si="5"/>
        <v>0</v>
      </c>
      <c r="N15" s="380">
        <f t="shared" si="5"/>
        <v>0</v>
      </c>
      <c r="O15" s="380">
        <f t="shared" si="5"/>
        <v>0</v>
      </c>
      <c r="P15" s="380">
        <f t="shared" si="5"/>
        <v>0</v>
      </c>
      <c r="Q15" s="397"/>
      <c r="R15" s="418"/>
    </row>
    <row r="16" spans="2:18">
      <c r="B16" s="94" t="s">
        <v>533</v>
      </c>
      <c r="C16" s="449" t="s">
        <v>844</v>
      </c>
      <c r="D16" s="376" t="str">
        <f t="shared" ref="D16" si="6">Growth_media</f>
        <v>Growth media</v>
      </c>
      <c r="E16" s="442" t="s">
        <v>845</v>
      </c>
      <c r="F16" s="28" t="s">
        <v>219</v>
      </c>
      <c r="G16" s="367">
        <f t="shared" ref="G16:P16" si="7">G12*Conv_sqm_ha*Growth_media_TSF_thickness*1.1</f>
        <v>0</v>
      </c>
      <c r="H16" s="367">
        <f t="shared" si="7"/>
        <v>0</v>
      </c>
      <c r="I16" s="367">
        <f t="shared" si="7"/>
        <v>0</v>
      </c>
      <c r="J16" s="367">
        <f t="shared" si="7"/>
        <v>0</v>
      </c>
      <c r="K16" s="367">
        <f t="shared" si="7"/>
        <v>0</v>
      </c>
      <c r="L16" s="367">
        <f t="shared" si="7"/>
        <v>0</v>
      </c>
      <c r="M16" s="367">
        <f t="shared" si="7"/>
        <v>0</v>
      </c>
      <c r="N16" s="367">
        <f t="shared" si="7"/>
        <v>0</v>
      </c>
      <c r="O16" s="367">
        <f t="shared" si="7"/>
        <v>0</v>
      </c>
      <c r="P16" s="367">
        <f t="shared" si="7"/>
        <v>0</v>
      </c>
      <c r="Q16" s="397"/>
      <c r="R16" s="329" t="str">
        <f>CONCATENATE("Only required if more or less growth media is required. The assumption is ",Growth_media_prop_def_rates*100,"% of the volume is purchased.")</f>
        <v>Only required if more or less growth media is required. The assumption is 20% of the volume is purchased.</v>
      </c>
    </row>
    <row r="17" spans="2:18" ht="22.5">
      <c r="B17" s="94" t="s">
        <v>533</v>
      </c>
      <c r="C17" s="524"/>
      <c r="D17" s="371"/>
      <c r="E17" s="442" t="s">
        <v>846</v>
      </c>
      <c r="F17" s="28" t="s">
        <v>219</v>
      </c>
      <c r="G17" s="367">
        <f t="shared" ref="G17:P17" si="8">G16*Growth_media_prop_def_rates</f>
        <v>0</v>
      </c>
      <c r="H17" s="367">
        <f t="shared" si="8"/>
        <v>0</v>
      </c>
      <c r="I17" s="367">
        <f t="shared" si="8"/>
        <v>0</v>
      </c>
      <c r="J17" s="367">
        <f t="shared" si="8"/>
        <v>0</v>
      </c>
      <c r="K17" s="367">
        <f t="shared" si="8"/>
        <v>0</v>
      </c>
      <c r="L17" s="367">
        <f t="shared" si="8"/>
        <v>0</v>
      </c>
      <c r="M17" s="367">
        <f t="shared" si="8"/>
        <v>0</v>
      </c>
      <c r="N17" s="367">
        <f t="shared" si="8"/>
        <v>0</v>
      </c>
      <c r="O17" s="367">
        <f t="shared" si="8"/>
        <v>0</v>
      </c>
      <c r="P17" s="367">
        <f t="shared" si="8"/>
        <v>0</v>
      </c>
      <c r="Q17" s="397"/>
      <c r="R17" s="418"/>
    </row>
    <row r="18" spans="2:18" ht="22.5">
      <c r="B18" s="94"/>
      <c r="C18" s="524"/>
      <c r="D18" s="371"/>
      <c r="E18" s="442" t="s">
        <v>847</v>
      </c>
      <c r="F18" s="28" t="s">
        <v>207</v>
      </c>
      <c r="G18" s="525">
        <f t="shared" ref="G18:P18" si="9">Growth_media_purchase_rate*Growth_media_soil_density*G17</f>
        <v>0</v>
      </c>
      <c r="H18" s="525">
        <f t="shared" si="9"/>
        <v>0</v>
      </c>
      <c r="I18" s="525">
        <f t="shared" si="9"/>
        <v>0</v>
      </c>
      <c r="J18" s="525">
        <f t="shared" si="9"/>
        <v>0</v>
      </c>
      <c r="K18" s="525">
        <f t="shared" si="9"/>
        <v>0</v>
      </c>
      <c r="L18" s="525">
        <f t="shared" si="9"/>
        <v>0</v>
      </c>
      <c r="M18" s="525">
        <f t="shared" si="9"/>
        <v>0</v>
      </c>
      <c r="N18" s="525">
        <f t="shared" si="9"/>
        <v>0</v>
      </c>
      <c r="O18" s="525">
        <f t="shared" si="9"/>
        <v>0</v>
      </c>
      <c r="P18" s="525">
        <f t="shared" si="9"/>
        <v>0</v>
      </c>
      <c r="Q18" s="397"/>
      <c r="R18" s="418"/>
    </row>
    <row r="19" spans="2:18" ht="22.5">
      <c r="B19" s="94" t="s">
        <v>533</v>
      </c>
      <c r="C19" s="524"/>
      <c r="D19" s="371"/>
      <c r="E19" s="442" t="s">
        <v>848</v>
      </c>
      <c r="F19" s="28" t="s">
        <v>219</v>
      </c>
      <c r="G19" s="463"/>
      <c r="H19" s="463"/>
      <c r="I19" s="463"/>
      <c r="J19" s="463"/>
      <c r="K19" s="463"/>
      <c r="L19" s="463"/>
      <c r="M19" s="463"/>
      <c r="N19" s="463"/>
      <c r="O19" s="463"/>
      <c r="P19" s="463"/>
      <c r="Q19" s="397"/>
      <c r="R19" s="329" t="s">
        <v>849</v>
      </c>
    </row>
    <row r="20" spans="2:18">
      <c r="B20" s="94"/>
      <c r="C20" s="524"/>
      <c r="D20" s="371"/>
      <c r="E20" s="442" t="s">
        <v>850</v>
      </c>
      <c r="F20" s="28" t="s">
        <v>219</v>
      </c>
      <c r="G20" s="367">
        <f>IF(G19="",0,G19-G17)</f>
        <v>0</v>
      </c>
      <c r="H20" s="367">
        <f t="shared" ref="H20:P20" si="10">IF(H19="",0,H19-H17)</f>
        <v>0</v>
      </c>
      <c r="I20" s="367">
        <f t="shared" si="10"/>
        <v>0</v>
      </c>
      <c r="J20" s="367">
        <f t="shared" si="10"/>
        <v>0</v>
      </c>
      <c r="K20" s="367">
        <f t="shared" si="10"/>
        <v>0</v>
      </c>
      <c r="L20" s="367">
        <f t="shared" si="10"/>
        <v>0</v>
      </c>
      <c r="M20" s="367">
        <f t="shared" si="10"/>
        <v>0</v>
      </c>
      <c r="N20" s="367">
        <f t="shared" si="10"/>
        <v>0</v>
      </c>
      <c r="O20" s="367">
        <f t="shared" si="10"/>
        <v>0</v>
      </c>
      <c r="P20" s="367">
        <f t="shared" si="10"/>
        <v>0</v>
      </c>
      <c r="Q20" s="397"/>
      <c r="R20" s="329" t="str">
        <f>IF(OR(G20&lt;0,H20&lt;0,I20&lt;0,J20&lt;0,K20&lt;0,L20&lt;0,M20&lt;0,N20&lt;0,O20&lt;0,P20&lt;0),"Add justification for lower volume","If user enters less than default they must provide justification.")</f>
        <v>If user enters less than default they must provide justification.</v>
      </c>
    </row>
    <row r="21" spans="2:18">
      <c r="B21" s="94" t="s">
        <v>533</v>
      </c>
      <c r="C21" s="524"/>
      <c r="D21" s="371"/>
      <c r="E21" s="442" t="s">
        <v>311</v>
      </c>
      <c r="F21" s="28" t="s">
        <v>123</v>
      </c>
      <c r="G21" s="527" t="s">
        <v>549</v>
      </c>
      <c r="H21" s="527" t="s">
        <v>549</v>
      </c>
      <c r="I21" s="527" t="s">
        <v>549</v>
      </c>
      <c r="J21" s="527" t="s">
        <v>549</v>
      </c>
      <c r="K21" s="527" t="s">
        <v>549</v>
      </c>
      <c r="L21" s="527" t="s">
        <v>549</v>
      </c>
      <c r="M21" s="527" t="s">
        <v>549</v>
      </c>
      <c r="N21" s="527" t="s">
        <v>549</v>
      </c>
      <c r="O21" s="527" t="s">
        <v>549</v>
      </c>
      <c r="P21" s="527" t="s">
        <v>549</v>
      </c>
      <c r="Q21" s="397"/>
      <c r="R21" s="329"/>
    </row>
    <row r="22" spans="2:18" ht="22.5">
      <c r="B22" s="94" t="s">
        <v>533</v>
      </c>
      <c r="C22" s="524"/>
      <c r="D22" s="371"/>
      <c r="E22" s="442" t="s">
        <v>551</v>
      </c>
      <c r="F22" s="28" t="s">
        <v>241</v>
      </c>
      <c r="G22" s="342">
        <f t="shared" ref="G22:P22" si="11">IF(G21=Growth_media,Growth_media_purchase_rate*Growth_media_soil_density,VENM_backfill_buy_R)</f>
        <v>128.79999999999998</v>
      </c>
      <c r="H22" s="342">
        <f t="shared" si="11"/>
        <v>128.79999999999998</v>
      </c>
      <c r="I22" s="342">
        <f t="shared" si="11"/>
        <v>128.79999999999998</v>
      </c>
      <c r="J22" s="342">
        <f t="shared" si="11"/>
        <v>128.79999999999998</v>
      </c>
      <c r="K22" s="342">
        <f t="shared" si="11"/>
        <v>128.79999999999998</v>
      </c>
      <c r="L22" s="342">
        <f t="shared" si="11"/>
        <v>128.79999999999998</v>
      </c>
      <c r="M22" s="342">
        <f t="shared" si="11"/>
        <v>128.79999999999998</v>
      </c>
      <c r="N22" s="342">
        <f t="shared" si="11"/>
        <v>128.79999999999998</v>
      </c>
      <c r="O22" s="342">
        <f t="shared" si="11"/>
        <v>128.79999999999998</v>
      </c>
      <c r="P22" s="342">
        <f t="shared" si="11"/>
        <v>128.79999999999998</v>
      </c>
      <c r="Q22" s="397"/>
      <c r="R22" s="329"/>
    </row>
    <row r="23" spans="2:18" ht="22.5">
      <c r="B23" s="94" t="s">
        <v>533</v>
      </c>
      <c r="C23" s="524"/>
      <c r="D23" s="371"/>
      <c r="E23" s="336" t="s">
        <v>552</v>
      </c>
      <c r="F23" s="28" t="s">
        <v>241</v>
      </c>
      <c r="G23" s="414"/>
      <c r="H23" s="414"/>
      <c r="I23" s="414"/>
      <c r="J23" s="414"/>
      <c r="K23" s="414"/>
      <c r="L23" s="414"/>
      <c r="M23" s="414"/>
      <c r="N23" s="414"/>
      <c r="O23" s="414"/>
      <c r="P23" s="414"/>
      <c r="Q23" s="397"/>
      <c r="R23" s="418"/>
    </row>
    <row r="24" spans="2:18">
      <c r="B24" s="94"/>
      <c r="C24" s="524"/>
      <c r="D24" s="371"/>
      <c r="E24" s="336" t="s">
        <v>851</v>
      </c>
      <c r="F24" s="28" t="s">
        <v>207</v>
      </c>
      <c r="G24" s="525">
        <f>IF(G23="",G22,G23)*G20</f>
        <v>0</v>
      </c>
      <c r="H24" s="525">
        <f t="shared" ref="H24:P24" si="12">IF(H23="",H22,H23)*H20</f>
        <v>0</v>
      </c>
      <c r="I24" s="525">
        <f t="shared" si="12"/>
        <v>0</v>
      </c>
      <c r="J24" s="525">
        <f t="shared" si="12"/>
        <v>0</v>
      </c>
      <c r="K24" s="525">
        <f t="shared" si="12"/>
        <v>0</v>
      </c>
      <c r="L24" s="525">
        <f t="shared" si="12"/>
        <v>0</v>
      </c>
      <c r="M24" s="525">
        <f t="shared" si="12"/>
        <v>0</v>
      </c>
      <c r="N24" s="525">
        <f t="shared" si="12"/>
        <v>0</v>
      </c>
      <c r="O24" s="525">
        <f t="shared" si="12"/>
        <v>0</v>
      </c>
      <c r="P24" s="525">
        <f t="shared" si="12"/>
        <v>0</v>
      </c>
      <c r="Q24" s="397"/>
      <c r="R24" s="418"/>
    </row>
    <row r="25" spans="2:18">
      <c r="B25" s="94" t="s">
        <v>533</v>
      </c>
      <c r="C25" s="526"/>
      <c r="D25" s="371"/>
      <c r="E25" s="442" t="s">
        <v>852</v>
      </c>
      <c r="F25" s="28" t="s">
        <v>207</v>
      </c>
      <c r="G25" s="378">
        <f>G24</f>
        <v>0</v>
      </c>
      <c r="H25" s="378">
        <f t="shared" ref="H25:P25" si="13">H24</f>
        <v>0</v>
      </c>
      <c r="I25" s="378">
        <f t="shared" si="13"/>
        <v>0</v>
      </c>
      <c r="J25" s="378">
        <f t="shared" si="13"/>
        <v>0</v>
      </c>
      <c r="K25" s="378">
        <f t="shared" si="13"/>
        <v>0</v>
      </c>
      <c r="L25" s="378">
        <f t="shared" si="13"/>
        <v>0</v>
      </c>
      <c r="M25" s="378">
        <f t="shared" si="13"/>
        <v>0</v>
      </c>
      <c r="N25" s="378">
        <f t="shared" si="13"/>
        <v>0</v>
      </c>
      <c r="O25" s="378">
        <f t="shared" si="13"/>
        <v>0</v>
      </c>
      <c r="P25" s="378">
        <f t="shared" si="13"/>
        <v>0</v>
      </c>
      <c r="Q25" s="397"/>
      <c r="R25" s="329"/>
    </row>
    <row r="26" spans="2:18">
      <c r="B26" s="94" t="s">
        <v>533</v>
      </c>
      <c r="C26" s="449" t="s">
        <v>853</v>
      </c>
      <c r="D26" s="376" t="s">
        <v>854</v>
      </c>
      <c r="E26" s="442" t="s">
        <v>855</v>
      </c>
      <c r="F26" s="28" t="s">
        <v>219</v>
      </c>
      <c r="G26" s="463"/>
      <c r="H26" s="463"/>
      <c r="I26" s="463"/>
      <c r="J26" s="463"/>
      <c r="K26" s="463"/>
      <c r="L26" s="463"/>
      <c r="M26" s="463"/>
      <c r="N26" s="463"/>
      <c r="O26" s="463"/>
      <c r="P26" s="463"/>
      <c r="Q26" s="397"/>
      <c r="R26" s="329" t="s">
        <v>856</v>
      </c>
    </row>
    <row r="27" spans="2:18" ht="22.5">
      <c r="B27" s="94" t="s">
        <v>533</v>
      </c>
      <c r="C27" s="524"/>
      <c r="D27" s="371"/>
      <c r="E27" s="442" t="s">
        <v>551</v>
      </c>
      <c r="F27" s="28" t="s">
        <v>241</v>
      </c>
      <c r="G27" s="342">
        <f t="shared" ref="G27:P27" si="14">Capping_clay_purchase_rate</f>
        <v>56.275440499999995</v>
      </c>
      <c r="H27" s="342">
        <f t="shared" si="14"/>
        <v>56.275440499999995</v>
      </c>
      <c r="I27" s="342">
        <f t="shared" si="14"/>
        <v>56.275440499999995</v>
      </c>
      <c r="J27" s="342">
        <f t="shared" si="14"/>
        <v>56.275440499999995</v>
      </c>
      <c r="K27" s="342">
        <f t="shared" si="14"/>
        <v>56.275440499999995</v>
      </c>
      <c r="L27" s="342">
        <f t="shared" si="14"/>
        <v>56.275440499999995</v>
      </c>
      <c r="M27" s="342">
        <f t="shared" si="14"/>
        <v>56.275440499999995</v>
      </c>
      <c r="N27" s="342">
        <f t="shared" si="14"/>
        <v>56.275440499999995</v>
      </c>
      <c r="O27" s="342">
        <f t="shared" si="14"/>
        <v>56.275440499999995</v>
      </c>
      <c r="P27" s="342">
        <f t="shared" si="14"/>
        <v>56.275440499999995</v>
      </c>
      <c r="Q27" s="397"/>
      <c r="R27" s="329" t="s">
        <v>857</v>
      </c>
    </row>
    <row r="28" spans="2:18" ht="22.5">
      <c r="B28" s="94" t="s">
        <v>533</v>
      </c>
      <c r="C28" s="524"/>
      <c r="D28" s="371"/>
      <c r="E28" s="336" t="s">
        <v>552</v>
      </c>
      <c r="F28" s="28" t="s">
        <v>241</v>
      </c>
      <c r="G28" s="414"/>
      <c r="H28" s="414"/>
      <c r="I28" s="414"/>
      <c r="J28" s="414"/>
      <c r="K28" s="414"/>
      <c r="L28" s="414"/>
      <c r="M28" s="414"/>
      <c r="N28" s="414"/>
      <c r="O28" s="414"/>
      <c r="P28" s="414"/>
      <c r="Q28" s="397"/>
      <c r="R28" s="418"/>
    </row>
    <row r="29" spans="2:18">
      <c r="B29" s="94" t="s">
        <v>533</v>
      </c>
      <c r="C29" s="526"/>
      <c r="D29" s="371"/>
      <c r="E29" s="442" t="s">
        <v>852</v>
      </c>
      <c r="F29" s="28" t="s">
        <v>207</v>
      </c>
      <c r="G29" s="378">
        <f>IF(G28="",G27,G28)*G26</f>
        <v>0</v>
      </c>
      <c r="H29" s="378">
        <f t="shared" ref="H29:P29" si="15">IF(H28="",H27,H28)*H26</f>
        <v>0</v>
      </c>
      <c r="I29" s="378">
        <f t="shared" si="15"/>
        <v>0</v>
      </c>
      <c r="J29" s="378">
        <f t="shared" si="15"/>
        <v>0</v>
      </c>
      <c r="K29" s="378">
        <f t="shared" si="15"/>
        <v>0</v>
      </c>
      <c r="L29" s="378">
        <f t="shared" si="15"/>
        <v>0</v>
      </c>
      <c r="M29" s="378">
        <f t="shared" si="15"/>
        <v>0</v>
      </c>
      <c r="N29" s="378">
        <f t="shared" si="15"/>
        <v>0</v>
      </c>
      <c r="O29" s="378">
        <f t="shared" si="15"/>
        <v>0</v>
      </c>
      <c r="P29" s="378">
        <f t="shared" si="15"/>
        <v>0</v>
      </c>
      <c r="Q29" s="397"/>
      <c r="R29" s="329"/>
    </row>
    <row r="30" spans="2:18">
      <c r="C30" s="372"/>
      <c r="D30" s="373"/>
      <c r="E30" s="374" t="str">
        <f>C11</f>
        <v>Tailings Storage Facilities (default rates)</v>
      </c>
      <c r="F30" s="62" t="s">
        <v>207</v>
      </c>
      <c r="G30" s="481">
        <f>G15+G25+G29</f>
        <v>0</v>
      </c>
      <c r="H30" s="481">
        <f t="shared" ref="H30:P30" si="16">H15+H25+H29</f>
        <v>0</v>
      </c>
      <c r="I30" s="481">
        <f t="shared" si="16"/>
        <v>0</v>
      </c>
      <c r="J30" s="481">
        <f t="shared" si="16"/>
        <v>0</v>
      </c>
      <c r="K30" s="481">
        <f t="shared" si="16"/>
        <v>0</v>
      </c>
      <c r="L30" s="481">
        <f t="shared" si="16"/>
        <v>0</v>
      </c>
      <c r="M30" s="481">
        <f t="shared" si="16"/>
        <v>0</v>
      </c>
      <c r="N30" s="481">
        <f t="shared" si="16"/>
        <v>0</v>
      </c>
      <c r="O30" s="481">
        <f t="shared" si="16"/>
        <v>0</v>
      </c>
      <c r="P30" s="481">
        <f t="shared" si="16"/>
        <v>0</v>
      </c>
      <c r="Q30" s="397"/>
      <c r="R30" s="418"/>
    </row>
    <row r="31" spans="2:18">
      <c r="C31" s="498"/>
      <c r="D31" s="498"/>
      <c r="E31" s="498"/>
      <c r="F31" s="498"/>
      <c r="G31" s="498"/>
      <c r="H31" s="498"/>
      <c r="I31" s="498"/>
      <c r="J31" s="498"/>
      <c r="K31" s="498"/>
      <c r="L31" s="498"/>
      <c r="M31" s="498"/>
      <c r="N31" s="498"/>
      <c r="O31" s="498"/>
      <c r="P31" s="498"/>
      <c r="Q31" s="498"/>
      <c r="R31" s="498"/>
    </row>
    <row r="32" spans="2:18">
      <c r="B32" s="469"/>
      <c r="C32" s="499" t="s">
        <v>601</v>
      </c>
      <c r="D32" s="498"/>
      <c r="E32" s="498"/>
      <c r="F32" s="498"/>
      <c r="G32" s="498"/>
      <c r="H32" s="498"/>
      <c r="I32" s="498"/>
      <c r="J32" s="498"/>
      <c r="K32" s="498"/>
      <c r="L32" s="498"/>
      <c r="M32" s="498"/>
      <c r="N32" s="498"/>
      <c r="O32" s="498"/>
      <c r="P32" s="498"/>
      <c r="Q32" s="498"/>
      <c r="R32" s="498"/>
    </row>
    <row r="33" spans="2:18" hidden="1">
      <c r="B33" s="94" t="s">
        <v>533</v>
      </c>
      <c r="C33" s="131" t="s">
        <v>858</v>
      </c>
      <c r="G33" s="103" t="str">
        <f t="shared" ref="G33:P33" si="17">IF(AND(G12&gt;0,G39&gt;0),"Quantities added to both tables","ok")</f>
        <v>ok</v>
      </c>
      <c r="H33" s="103" t="str">
        <f t="shared" si="17"/>
        <v>ok</v>
      </c>
      <c r="I33" s="103" t="str">
        <f t="shared" si="17"/>
        <v>ok</v>
      </c>
      <c r="J33" s="103" t="str">
        <f t="shared" si="17"/>
        <v>ok</v>
      </c>
      <c r="K33" s="103" t="str">
        <f t="shared" si="17"/>
        <v>ok</v>
      </c>
      <c r="L33" s="103" t="str">
        <f t="shared" si="17"/>
        <v>ok</v>
      </c>
      <c r="M33" s="103" t="str">
        <f t="shared" si="17"/>
        <v>ok</v>
      </c>
      <c r="N33" s="103" t="str">
        <f t="shared" si="17"/>
        <v>ok</v>
      </c>
      <c r="O33" s="103" t="str">
        <f t="shared" si="17"/>
        <v>ok</v>
      </c>
      <c r="P33" s="103" t="str">
        <f t="shared" si="17"/>
        <v>ok</v>
      </c>
    </row>
    <row r="34" spans="2:18" hidden="1">
      <c r="B34" s="94" t="s">
        <v>533</v>
      </c>
      <c r="C34" s="131" t="s">
        <v>859</v>
      </c>
      <c r="G34" s="28"/>
      <c r="H34" s="28"/>
      <c r="I34" s="28"/>
      <c r="J34" s="28"/>
      <c r="K34" s="28"/>
      <c r="L34" s="28"/>
      <c r="M34" s="28"/>
      <c r="N34" s="28"/>
      <c r="O34" s="28"/>
      <c r="P34" s="28"/>
    </row>
    <row r="35" spans="2:18" ht="12" hidden="1" thickBot="1">
      <c r="B35" s="94" t="s">
        <v>533</v>
      </c>
      <c r="C35" s="202" t="s">
        <v>185</v>
      </c>
      <c r="D35" s="114" t="s">
        <v>186</v>
      </c>
      <c r="E35" s="115" t="s">
        <v>187</v>
      </c>
      <c r="F35" s="116" t="s">
        <v>592</v>
      </c>
      <c r="G35" s="528" t="s">
        <v>696</v>
      </c>
      <c r="H35" s="528" t="s">
        <v>696</v>
      </c>
      <c r="I35" s="528" t="s">
        <v>696</v>
      </c>
      <c r="J35" s="528" t="s">
        <v>696</v>
      </c>
      <c r="K35" s="528" t="s">
        <v>696</v>
      </c>
      <c r="L35" s="528" t="s">
        <v>696</v>
      </c>
      <c r="M35" s="528" t="s">
        <v>696</v>
      </c>
      <c r="N35" s="528" t="s">
        <v>696</v>
      </c>
      <c r="O35" s="528" t="s">
        <v>696</v>
      </c>
      <c r="P35" s="528" t="s">
        <v>696</v>
      </c>
      <c r="Q35" s="138" t="s">
        <v>190</v>
      </c>
      <c r="R35" s="138" t="s">
        <v>191</v>
      </c>
    </row>
    <row r="36" spans="2:18" hidden="1">
      <c r="B36" s="94" t="s">
        <v>533</v>
      </c>
      <c r="C36" s="50" t="s">
        <v>124</v>
      </c>
      <c r="D36" s="407"/>
      <c r="E36" s="397"/>
      <c r="G36" s="397"/>
      <c r="H36" s="397"/>
      <c r="I36" s="397"/>
      <c r="J36" s="397"/>
      <c r="K36" s="397"/>
      <c r="L36" s="397"/>
      <c r="M36" s="397"/>
      <c r="N36" s="397"/>
      <c r="O36" s="397"/>
      <c r="P36" s="397"/>
      <c r="Q36" s="397"/>
      <c r="R36" s="44"/>
    </row>
    <row r="37" spans="2:18" hidden="1">
      <c r="B37" s="94" t="s">
        <v>533</v>
      </c>
      <c r="C37" s="173" t="s">
        <v>860</v>
      </c>
      <c r="D37" s="121" t="s">
        <v>700</v>
      </c>
      <c r="E37" s="27" t="s">
        <v>701</v>
      </c>
      <c r="F37" s="28" t="s">
        <v>123</v>
      </c>
      <c r="G37" s="529" t="s">
        <v>861</v>
      </c>
      <c r="H37" s="529" t="s">
        <v>753</v>
      </c>
      <c r="I37" s="529" t="s">
        <v>24</v>
      </c>
      <c r="J37" s="529" t="s">
        <v>862</v>
      </c>
      <c r="K37" s="529" t="s">
        <v>754</v>
      </c>
      <c r="L37" s="529" t="s">
        <v>753</v>
      </c>
      <c r="M37" s="529" t="s">
        <v>753</v>
      </c>
      <c r="N37" s="529" t="s">
        <v>753</v>
      </c>
      <c r="O37" s="529" t="s">
        <v>753</v>
      </c>
      <c r="P37" s="529" t="s">
        <v>753</v>
      </c>
      <c r="Q37" s="397"/>
      <c r="R37" s="82"/>
    </row>
    <row r="38" spans="2:18" ht="45" hidden="1">
      <c r="B38" s="94" t="s">
        <v>533</v>
      </c>
      <c r="C38" s="52"/>
      <c r="D38" s="47" t="s">
        <v>755</v>
      </c>
      <c r="E38" s="27" t="s">
        <v>194</v>
      </c>
      <c r="G38" s="530"/>
      <c r="H38" s="530"/>
      <c r="I38" s="530"/>
      <c r="J38" s="530"/>
      <c r="K38" s="530"/>
      <c r="L38" s="530"/>
      <c r="M38" s="530"/>
      <c r="N38" s="530"/>
      <c r="O38" s="530"/>
      <c r="P38" s="530"/>
      <c r="Q38" s="397"/>
      <c r="R38" s="44" t="s">
        <v>195</v>
      </c>
    </row>
    <row r="39" spans="2:18" hidden="1">
      <c r="B39" s="94" t="s">
        <v>533</v>
      </c>
      <c r="C39" s="52"/>
      <c r="D39" s="47" t="s">
        <v>705</v>
      </c>
      <c r="E39" s="27" t="s">
        <v>214</v>
      </c>
      <c r="F39" s="28" t="s">
        <v>299</v>
      </c>
      <c r="G39" s="455"/>
      <c r="H39" s="455"/>
      <c r="I39" s="455"/>
      <c r="J39" s="455"/>
      <c r="K39" s="455"/>
      <c r="L39" s="455"/>
      <c r="M39" s="455"/>
      <c r="N39" s="455"/>
      <c r="O39" s="455"/>
      <c r="P39" s="455"/>
      <c r="Q39" s="397"/>
      <c r="R39" s="82"/>
    </row>
    <row r="40" spans="2:18" hidden="1">
      <c r="B40" s="94" t="s">
        <v>533</v>
      </c>
      <c r="C40" s="56"/>
      <c r="D40" s="47" t="s">
        <v>843</v>
      </c>
      <c r="E40" s="27" t="s">
        <v>214</v>
      </c>
      <c r="F40" s="28" t="s">
        <v>299</v>
      </c>
      <c r="G40" s="455"/>
      <c r="H40" s="455"/>
      <c r="I40" s="455"/>
      <c r="J40" s="455"/>
      <c r="K40" s="455"/>
      <c r="L40" s="455"/>
      <c r="M40" s="455"/>
      <c r="N40" s="455"/>
      <c r="O40" s="455"/>
      <c r="P40" s="455"/>
      <c r="Q40" s="397"/>
      <c r="R40" s="44"/>
    </row>
    <row r="41" spans="2:18" hidden="1">
      <c r="B41" s="94" t="s">
        <v>533</v>
      </c>
      <c r="C41" s="149" t="s">
        <v>756</v>
      </c>
      <c r="D41" s="47" t="s">
        <v>757</v>
      </c>
      <c r="E41" s="47" t="s">
        <v>214</v>
      </c>
      <c r="F41" s="28" t="s">
        <v>299</v>
      </c>
      <c r="G41" s="455"/>
      <c r="H41" s="455"/>
      <c r="I41" s="455"/>
      <c r="J41" s="455"/>
      <c r="K41" s="455"/>
      <c r="L41" s="455"/>
      <c r="M41" s="455"/>
      <c r="N41" s="455"/>
      <c r="O41" s="455"/>
      <c r="P41" s="455"/>
      <c r="Q41" s="397"/>
      <c r="R41" s="82"/>
    </row>
    <row r="42" spans="2:18" hidden="1">
      <c r="B42" s="94" t="s">
        <v>533</v>
      </c>
      <c r="C42" s="158"/>
      <c r="D42" s="66"/>
      <c r="E42" s="67"/>
      <c r="F42" s="72"/>
      <c r="G42" s="63"/>
      <c r="H42" s="63"/>
      <c r="I42" s="63"/>
      <c r="J42" s="63"/>
      <c r="K42" s="63"/>
      <c r="L42" s="63"/>
      <c r="M42" s="63"/>
      <c r="N42" s="63"/>
      <c r="O42" s="63"/>
      <c r="P42" s="63"/>
      <c r="Q42" s="397"/>
      <c r="R42" s="82"/>
    </row>
    <row r="43" spans="2:18" hidden="1">
      <c r="B43" s="94" t="s">
        <v>533</v>
      </c>
      <c r="C43" s="159" t="s">
        <v>863</v>
      </c>
      <c r="D43" s="59" t="s">
        <v>843</v>
      </c>
      <c r="E43" s="47" t="s">
        <v>759</v>
      </c>
      <c r="F43" s="28" t="s">
        <v>211</v>
      </c>
      <c r="G43" s="70">
        <f>_xlfn.XLOOKUP(G$37,'Assumptions - Capping'!$D$4:$H$4,'Assumptions - Capping'!$D$6:$H$6)</f>
        <v>1</v>
      </c>
      <c r="H43" s="70">
        <f>_xlfn.XLOOKUP(H$37,'Assumptions - Capping'!$D$4:$H$4,'Assumptions - Capping'!$D$6:$H$6)</f>
        <v>1</v>
      </c>
      <c r="I43" s="70">
        <f>_xlfn.XLOOKUP(I$37,'Assumptions - Capping'!$D$4:$H$4,'Assumptions - Capping'!$D$6:$H$6)</f>
        <v>1</v>
      </c>
      <c r="J43" s="70">
        <f>_xlfn.XLOOKUP(J$37,'Assumptions - Capping'!$D$4:$H$4,'Assumptions - Capping'!$D$6:$H$6)</f>
        <v>1</v>
      </c>
      <c r="K43" s="70">
        <f>_xlfn.XLOOKUP(K$37,'Assumptions - Capping'!$D$4:$H$4,'Assumptions - Capping'!$D$6:$H$6)</f>
        <v>1</v>
      </c>
      <c r="L43" s="70">
        <f>_xlfn.XLOOKUP(L$37,'Assumptions - Capping'!$D$4:$H$4,'Assumptions - Capping'!$D$6:$H$6)</f>
        <v>1</v>
      </c>
      <c r="M43" s="70">
        <f>_xlfn.XLOOKUP(M$37,'Assumptions - Capping'!$D$4:$H$4,'Assumptions - Capping'!$D$6:$H$6)</f>
        <v>1</v>
      </c>
      <c r="N43" s="70">
        <f>_xlfn.XLOOKUP(N$37,'Assumptions - Capping'!$D$4:$H$4,'Assumptions - Capping'!$D$6:$H$6)</f>
        <v>1</v>
      </c>
      <c r="O43" s="70">
        <f>_xlfn.XLOOKUP(O$37,'Assumptions - Capping'!$D$4:$H$4,'Assumptions - Capping'!$D$6:$H$6)</f>
        <v>1</v>
      </c>
      <c r="P43" s="70">
        <f>_xlfn.XLOOKUP(P$37,'Assumptions - Capping'!$D$4:$H$4,'Assumptions - Capping'!$D$6:$H$6)</f>
        <v>1</v>
      </c>
      <c r="Q43" s="397"/>
      <c r="R43" s="82"/>
    </row>
    <row r="44" spans="2:18" hidden="1">
      <c r="B44" s="94" t="s">
        <v>533</v>
      </c>
      <c r="C44" s="52"/>
      <c r="D44" s="60"/>
      <c r="E44" s="47" t="s">
        <v>760</v>
      </c>
      <c r="F44" s="28" t="s">
        <v>211</v>
      </c>
      <c r="G44" s="411"/>
      <c r="H44" s="411"/>
      <c r="I44" s="411"/>
      <c r="J44" s="411"/>
      <c r="K44" s="411"/>
      <c r="L44" s="411"/>
      <c r="M44" s="411"/>
      <c r="N44" s="411"/>
      <c r="O44" s="411"/>
      <c r="P44" s="411"/>
      <c r="Q44" s="397"/>
      <c r="R44" s="44" t="s">
        <v>864</v>
      </c>
    </row>
    <row r="45" spans="2:18" hidden="1">
      <c r="B45" s="94" t="s">
        <v>533</v>
      </c>
      <c r="C45" s="52"/>
      <c r="D45" s="60"/>
      <c r="E45" s="47" t="s">
        <v>761</v>
      </c>
      <c r="F45" s="28" t="s">
        <v>211</v>
      </c>
      <c r="G45" s="70">
        <f>IF(G44="",G43,G44)</f>
        <v>1</v>
      </c>
      <c r="H45" s="70">
        <f t="shared" ref="H45:P45" si="18">IF(H44="",H43,H44)</f>
        <v>1</v>
      </c>
      <c r="I45" s="70">
        <f t="shared" si="18"/>
        <v>1</v>
      </c>
      <c r="J45" s="70">
        <f t="shared" si="18"/>
        <v>1</v>
      </c>
      <c r="K45" s="70">
        <f t="shared" si="18"/>
        <v>1</v>
      </c>
      <c r="L45" s="70">
        <f t="shared" si="18"/>
        <v>1</v>
      </c>
      <c r="M45" s="70">
        <f t="shared" si="18"/>
        <v>1</v>
      </c>
      <c r="N45" s="70">
        <f t="shared" si="18"/>
        <v>1</v>
      </c>
      <c r="O45" s="70">
        <f t="shared" si="18"/>
        <v>1</v>
      </c>
      <c r="P45" s="70">
        <f t="shared" si="18"/>
        <v>1</v>
      </c>
      <c r="Q45" s="397"/>
      <c r="R45" s="44" t="str">
        <f>IF(OR(G45&lt;G43,H45&lt;H43,I45&lt;I43,J45&lt;J43,K45&lt;K43,L45&lt;L43,M45&lt;M43,N45&lt;N43,O45&lt;O43,P45&lt;P43),"Add justification for lower thickness.","If user enters less than default they must provide justification.")</f>
        <v>If user enters less than default they must provide justification.</v>
      </c>
    </row>
    <row r="46" spans="2:18" hidden="1">
      <c r="B46" s="94" t="s">
        <v>533</v>
      </c>
      <c r="C46" s="56"/>
      <c r="D46" s="60"/>
      <c r="E46" s="47" t="s">
        <v>307</v>
      </c>
      <c r="F46" s="28" t="s">
        <v>219</v>
      </c>
      <c r="G46" s="58">
        <f t="shared" ref="G46:P46" si="19">G40*Conv_sqm_ha*G45</f>
        <v>0</v>
      </c>
      <c r="H46" s="58">
        <f t="shared" si="19"/>
        <v>0</v>
      </c>
      <c r="I46" s="58">
        <f t="shared" si="19"/>
        <v>0</v>
      </c>
      <c r="J46" s="58">
        <f t="shared" si="19"/>
        <v>0</v>
      </c>
      <c r="K46" s="58">
        <f t="shared" si="19"/>
        <v>0</v>
      </c>
      <c r="L46" s="58">
        <f t="shared" si="19"/>
        <v>0</v>
      </c>
      <c r="M46" s="58">
        <f t="shared" si="19"/>
        <v>0</v>
      </c>
      <c r="N46" s="58">
        <f t="shared" si="19"/>
        <v>0</v>
      </c>
      <c r="O46" s="58">
        <f t="shared" si="19"/>
        <v>0</v>
      </c>
      <c r="P46" s="58">
        <f t="shared" si="19"/>
        <v>0</v>
      </c>
      <c r="Q46" s="397"/>
      <c r="R46" s="44"/>
    </row>
    <row r="47" spans="2:18" hidden="1">
      <c r="B47" s="94" t="s">
        <v>533</v>
      </c>
      <c r="C47" s="50" t="s">
        <v>865</v>
      </c>
      <c r="D47" s="60"/>
      <c r="E47" s="47" t="s">
        <v>866</v>
      </c>
      <c r="F47" s="28" t="s">
        <v>123</v>
      </c>
      <c r="G47" s="464" t="s">
        <v>867</v>
      </c>
      <c r="H47" s="464" t="s">
        <v>867</v>
      </c>
      <c r="I47" s="464" t="s">
        <v>867</v>
      </c>
      <c r="J47" s="464" t="s">
        <v>867</v>
      </c>
      <c r="K47" s="464" t="s">
        <v>867</v>
      </c>
      <c r="L47" s="464" t="s">
        <v>867</v>
      </c>
      <c r="M47" s="464" t="s">
        <v>867</v>
      </c>
      <c r="N47" s="464" t="s">
        <v>867</v>
      </c>
      <c r="O47" s="464" t="s">
        <v>867</v>
      </c>
      <c r="P47" s="464" t="s">
        <v>867</v>
      </c>
      <c r="Q47" s="397"/>
      <c r="R47" s="82"/>
    </row>
    <row r="48" spans="2:18" hidden="1">
      <c r="B48" s="94" t="s">
        <v>533</v>
      </c>
      <c r="C48" s="52"/>
      <c r="D48" s="60"/>
      <c r="E48" s="47" t="s">
        <v>227</v>
      </c>
      <c r="F48" s="28" t="s">
        <v>329</v>
      </c>
      <c r="G48" s="54">
        <f t="shared" ref="G48:J48" si="20">_xlfn.XLOOKUP(G47,Dozer_rip_names_CS,Dozer_rip_rates_CS)</f>
        <v>740.19589522735362</v>
      </c>
      <c r="H48" s="54">
        <f t="shared" si="20"/>
        <v>740.19589522735362</v>
      </c>
      <c r="I48" s="54">
        <f t="shared" si="20"/>
        <v>740.19589522735362</v>
      </c>
      <c r="J48" s="54">
        <f t="shared" si="20"/>
        <v>740.19589522735362</v>
      </c>
      <c r="K48" s="54">
        <f t="shared" ref="K48:P48" si="21">_xlfn.XLOOKUP(K47,Dozer_rip_names_CS,Dozer_rip_rates_CS)</f>
        <v>740.19589522735362</v>
      </c>
      <c r="L48" s="54">
        <f t="shared" si="21"/>
        <v>740.19589522735362</v>
      </c>
      <c r="M48" s="54">
        <f t="shared" si="21"/>
        <v>740.19589522735362</v>
      </c>
      <c r="N48" s="54">
        <f t="shared" si="21"/>
        <v>740.19589522735362</v>
      </c>
      <c r="O48" s="54">
        <f t="shared" si="21"/>
        <v>740.19589522735362</v>
      </c>
      <c r="P48" s="54">
        <f t="shared" si="21"/>
        <v>740.19589522735362</v>
      </c>
      <c r="Q48" s="397"/>
      <c r="R48" s="44"/>
    </row>
    <row r="49" spans="2:18" hidden="1">
      <c r="B49" s="94" t="s">
        <v>533</v>
      </c>
      <c r="C49" s="52"/>
      <c r="D49" s="60"/>
      <c r="E49" s="47" t="s">
        <v>229</v>
      </c>
      <c r="F49" s="28" t="s">
        <v>329</v>
      </c>
      <c r="G49" s="537"/>
      <c r="H49" s="537"/>
      <c r="I49" s="537"/>
      <c r="J49" s="537"/>
      <c r="K49" s="537"/>
      <c r="L49" s="537"/>
      <c r="M49" s="537"/>
      <c r="N49" s="537"/>
      <c r="O49" s="537"/>
      <c r="P49" s="537"/>
      <c r="Q49" s="397"/>
      <c r="R49" s="44"/>
    </row>
    <row r="50" spans="2:18" hidden="1">
      <c r="B50" s="94" t="s">
        <v>533</v>
      </c>
      <c r="C50" s="56"/>
      <c r="D50" s="60"/>
      <c r="E50" s="47" t="s">
        <v>146</v>
      </c>
      <c r="F50" s="28" t="s">
        <v>207</v>
      </c>
      <c r="G50" s="95">
        <f t="shared" ref="G50:P50" si="22">G40*IF(G49="",G48,G49)</f>
        <v>0</v>
      </c>
      <c r="H50" s="95">
        <f t="shared" si="22"/>
        <v>0</v>
      </c>
      <c r="I50" s="95">
        <f t="shared" si="22"/>
        <v>0</v>
      </c>
      <c r="J50" s="95">
        <f t="shared" si="22"/>
        <v>0</v>
      </c>
      <c r="K50" s="95">
        <f t="shared" si="22"/>
        <v>0</v>
      </c>
      <c r="L50" s="95">
        <f t="shared" si="22"/>
        <v>0</v>
      </c>
      <c r="M50" s="95">
        <f t="shared" si="22"/>
        <v>0</v>
      </c>
      <c r="N50" s="95">
        <f t="shared" si="22"/>
        <v>0</v>
      </c>
      <c r="O50" s="95">
        <f t="shared" si="22"/>
        <v>0</v>
      </c>
      <c r="P50" s="95">
        <f t="shared" si="22"/>
        <v>0</v>
      </c>
      <c r="Q50" s="397"/>
      <c r="R50" s="82"/>
    </row>
    <row r="51" spans="2:18" ht="33.75" hidden="1">
      <c r="B51" s="94" t="s">
        <v>533</v>
      </c>
      <c r="C51" s="50" t="s">
        <v>868</v>
      </c>
      <c r="D51" s="60"/>
      <c r="E51" s="121" t="s">
        <v>869</v>
      </c>
      <c r="F51" s="28" t="s">
        <v>123</v>
      </c>
      <c r="G51" s="461" t="s">
        <v>736</v>
      </c>
      <c r="H51" s="461" t="s">
        <v>736</v>
      </c>
      <c r="I51" s="461" t="s">
        <v>736</v>
      </c>
      <c r="J51" s="461" t="s">
        <v>736</v>
      </c>
      <c r="K51" s="461" t="s">
        <v>736</v>
      </c>
      <c r="L51" s="461" t="s">
        <v>736</v>
      </c>
      <c r="M51" s="461" t="s">
        <v>736</v>
      </c>
      <c r="N51" s="461" t="s">
        <v>736</v>
      </c>
      <c r="O51" s="461" t="s">
        <v>736</v>
      </c>
      <c r="P51" s="461" t="s">
        <v>736</v>
      </c>
      <c r="Q51" s="397"/>
      <c r="R51" s="82"/>
    </row>
    <row r="52" spans="2:18" hidden="1">
      <c r="B52" s="94" t="s">
        <v>533</v>
      </c>
      <c r="C52" s="52"/>
      <c r="D52" s="60"/>
      <c r="E52" s="47" t="s">
        <v>227</v>
      </c>
      <c r="F52" s="28" t="s">
        <v>329</v>
      </c>
      <c r="G52" s="54">
        <f t="shared" ref="G52:J52" si="23">_xlfn.XLOOKUP(G51,Dozer_shape_doze_for_drainage_names_CS,Dozer_shape_doze_for_drainage_rates_CS)</f>
        <v>4384.0589414240003</v>
      </c>
      <c r="H52" s="54">
        <f t="shared" si="23"/>
        <v>4384.0589414240003</v>
      </c>
      <c r="I52" s="54">
        <f t="shared" si="23"/>
        <v>4384.0589414240003</v>
      </c>
      <c r="J52" s="54">
        <f t="shared" si="23"/>
        <v>4384.0589414240003</v>
      </c>
      <c r="K52" s="54">
        <f t="shared" ref="K52:P52" si="24">_xlfn.XLOOKUP(K51,Dozer_shape_doze_for_drainage_names_CS,Dozer_shape_doze_for_drainage_rates_CS)</f>
        <v>4384.0589414240003</v>
      </c>
      <c r="L52" s="54">
        <f t="shared" si="24"/>
        <v>4384.0589414240003</v>
      </c>
      <c r="M52" s="54">
        <f t="shared" si="24"/>
        <v>4384.0589414240003</v>
      </c>
      <c r="N52" s="54">
        <f t="shared" si="24"/>
        <v>4384.0589414240003</v>
      </c>
      <c r="O52" s="54">
        <f t="shared" si="24"/>
        <v>4384.0589414240003</v>
      </c>
      <c r="P52" s="54">
        <f t="shared" si="24"/>
        <v>4384.0589414240003</v>
      </c>
      <c r="Q52" s="397"/>
      <c r="R52" s="44"/>
    </row>
    <row r="53" spans="2:18" hidden="1">
      <c r="B53" s="94" t="s">
        <v>533</v>
      </c>
      <c r="C53" s="52"/>
      <c r="D53" s="60"/>
      <c r="E53" s="47" t="s">
        <v>229</v>
      </c>
      <c r="G53" s="537"/>
      <c r="H53" s="537"/>
      <c r="I53" s="537"/>
      <c r="J53" s="537"/>
      <c r="K53" s="537"/>
      <c r="L53" s="537"/>
      <c r="M53" s="537"/>
      <c r="N53" s="537"/>
      <c r="O53" s="537"/>
      <c r="P53" s="537"/>
      <c r="Q53" s="397"/>
      <c r="R53" s="82"/>
    </row>
    <row r="54" spans="2:18" hidden="1">
      <c r="B54" s="94" t="s">
        <v>533</v>
      </c>
      <c r="C54" s="56"/>
      <c r="D54" s="60"/>
      <c r="E54" s="47" t="s">
        <v>146</v>
      </c>
      <c r="F54" s="28" t="s">
        <v>207</v>
      </c>
      <c r="G54" s="95">
        <f t="shared" ref="G54:P54" si="25">IF(G53="",G52,G53)*G40</f>
        <v>0</v>
      </c>
      <c r="H54" s="95">
        <f t="shared" si="25"/>
        <v>0</v>
      </c>
      <c r="I54" s="95">
        <f t="shared" si="25"/>
        <v>0</v>
      </c>
      <c r="J54" s="95">
        <f t="shared" si="25"/>
        <v>0</v>
      </c>
      <c r="K54" s="95">
        <f t="shared" si="25"/>
        <v>0</v>
      </c>
      <c r="L54" s="95">
        <f t="shared" si="25"/>
        <v>0</v>
      </c>
      <c r="M54" s="95">
        <f t="shared" si="25"/>
        <v>0</v>
      </c>
      <c r="N54" s="95">
        <f t="shared" si="25"/>
        <v>0</v>
      </c>
      <c r="O54" s="95">
        <f t="shared" si="25"/>
        <v>0</v>
      </c>
      <c r="P54" s="95">
        <f t="shared" si="25"/>
        <v>0</v>
      </c>
      <c r="Q54" s="397"/>
      <c r="R54" s="82"/>
    </row>
    <row r="55" spans="2:18" ht="33.75" hidden="1">
      <c r="B55" s="94" t="s">
        <v>533</v>
      </c>
      <c r="C55" s="50" t="s">
        <v>870</v>
      </c>
      <c r="D55" s="60"/>
      <c r="E55" s="47" t="s">
        <v>871</v>
      </c>
      <c r="F55" s="28" t="s">
        <v>123</v>
      </c>
      <c r="G55" s="461" t="s">
        <v>872</v>
      </c>
      <c r="H55" s="461" t="s">
        <v>872</v>
      </c>
      <c r="I55" s="461" t="s">
        <v>872</v>
      </c>
      <c r="J55" s="461" t="s">
        <v>872</v>
      </c>
      <c r="K55" s="461" t="s">
        <v>872</v>
      </c>
      <c r="L55" s="461" t="s">
        <v>872</v>
      </c>
      <c r="M55" s="461" t="s">
        <v>872</v>
      </c>
      <c r="N55" s="461" t="s">
        <v>872</v>
      </c>
      <c r="O55" s="461" t="s">
        <v>872</v>
      </c>
      <c r="P55" s="461" t="s">
        <v>872</v>
      </c>
      <c r="Q55" s="397"/>
      <c r="R55" s="82"/>
    </row>
    <row r="56" spans="2:18" hidden="1">
      <c r="B56" s="94" t="s">
        <v>533</v>
      </c>
      <c r="C56" s="52"/>
      <c r="D56" s="60"/>
      <c r="E56" s="47" t="s">
        <v>227</v>
      </c>
      <c r="F56" s="28" t="s">
        <v>329</v>
      </c>
      <c r="G56" s="54">
        <f t="shared" ref="G56:J56" si="26">_xlfn.XLOOKUP(G55,Dozer_shape_reprofile_area_names_CS,Dozer_shape_reprofile_area_rate_CS)</f>
        <v>15949.576529035689</v>
      </c>
      <c r="H56" s="54">
        <f t="shared" si="26"/>
        <v>15949.576529035689</v>
      </c>
      <c r="I56" s="54">
        <f t="shared" si="26"/>
        <v>15949.576529035689</v>
      </c>
      <c r="J56" s="54">
        <f t="shared" si="26"/>
        <v>15949.576529035689</v>
      </c>
      <c r="K56" s="54">
        <f t="shared" ref="K56:P56" si="27">_xlfn.XLOOKUP(K55,Dozer_shape_reprofile_area_names_CS,Dozer_shape_reprofile_area_rate_CS)</f>
        <v>15949.576529035689</v>
      </c>
      <c r="L56" s="54">
        <f t="shared" si="27"/>
        <v>15949.576529035689</v>
      </c>
      <c r="M56" s="54">
        <f t="shared" si="27"/>
        <v>15949.576529035689</v>
      </c>
      <c r="N56" s="54">
        <f t="shared" si="27"/>
        <v>15949.576529035689</v>
      </c>
      <c r="O56" s="54">
        <f t="shared" si="27"/>
        <v>15949.576529035689</v>
      </c>
      <c r="P56" s="54">
        <f t="shared" si="27"/>
        <v>15949.576529035689</v>
      </c>
      <c r="Q56" s="397"/>
      <c r="R56" s="44"/>
    </row>
    <row r="57" spans="2:18" hidden="1">
      <c r="B57" s="94" t="s">
        <v>533</v>
      </c>
      <c r="C57" s="52"/>
      <c r="D57" s="60"/>
      <c r="E57" s="47" t="s">
        <v>229</v>
      </c>
      <c r="F57" s="28" t="s">
        <v>329</v>
      </c>
      <c r="G57" s="537"/>
      <c r="H57" s="537"/>
      <c r="I57" s="537"/>
      <c r="J57" s="537"/>
      <c r="K57" s="537"/>
      <c r="L57" s="537"/>
      <c r="M57" s="537"/>
      <c r="N57" s="537"/>
      <c r="O57" s="537"/>
      <c r="P57" s="537"/>
      <c r="Q57" s="397"/>
      <c r="R57" s="82"/>
    </row>
    <row r="58" spans="2:18" hidden="1">
      <c r="B58" s="94" t="s">
        <v>533</v>
      </c>
      <c r="C58" s="56"/>
      <c r="D58" s="45"/>
      <c r="E58" s="47" t="s">
        <v>146</v>
      </c>
      <c r="F58" s="28" t="s">
        <v>207</v>
      </c>
      <c r="G58" s="139">
        <f t="shared" ref="G58:P58" si="28">IF(G57="",G56,G57)*G40</f>
        <v>0</v>
      </c>
      <c r="H58" s="139">
        <f t="shared" si="28"/>
        <v>0</v>
      </c>
      <c r="I58" s="139">
        <f t="shared" si="28"/>
        <v>0</v>
      </c>
      <c r="J58" s="139">
        <f t="shared" si="28"/>
        <v>0</v>
      </c>
      <c r="K58" s="139">
        <f t="shared" si="28"/>
        <v>0</v>
      </c>
      <c r="L58" s="139">
        <f t="shared" si="28"/>
        <v>0</v>
      </c>
      <c r="M58" s="139">
        <f t="shared" si="28"/>
        <v>0</v>
      </c>
      <c r="N58" s="139">
        <f t="shared" si="28"/>
        <v>0</v>
      </c>
      <c r="O58" s="139">
        <f t="shared" si="28"/>
        <v>0</v>
      </c>
      <c r="P58" s="139">
        <f t="shared" si="28"/>
        <v>0</v>
      </c>
      <c r="Q58" s="397"/>
      <c r="R58" s="82"/>
    </row>
    <row r="59" spans="2:18" hidden="1">
      <c r="B59" s="94" t="s">
        <v>533</v>
      </c>
      <c r="C59" s="181" t="s">
        <v>756</v>
      </c>
      <c r="D59" s="192" t="s">
        <v>757</v>
      </c>
      <c r="E59" s="47" t="s">
        <v>304</v>
      </c>
      <c r="F59" s="28" t="s">
        <v>211</v>
      </c>
      <c r="G59" s="70">
        <f>_xlfn.XLOOKUP(G$37,'Assumptions - Capping'!$D$4:$H$4,'Assumptions - Capping'!$D$7:$H$7)</f>
        <v>0.5</v>
      </c>
      <c r="H59" s="70">
        <f>_xlfn.XLOOKUP(H$37,'Assumptions - Capping'!$D$4:$H$4,'Assumptions - Capping'!$D$7:$H$7)</f>
        <v>0.5</v>
      </c>
      <c r="I59" s="70">
        <f>_xlfn.XLOOKUP(I$37,'Assumptions - Capping'!$D$4:$H$4,'Assumptions - Capping'!$D$7:$H$7)</f>
        <v>0.5</v>
      </c>
      <c r="J59" s="70">
        <f>_xlfn.XLOOKUP(J$37,'Assumptions - Capping'!$D$4:$H$4,'Assumptions - Capping'!$D$7:$H$7)</f>
        <v>0.5</v>
      </c>
      <c r="K59" s="70">
        <f>_xlfn.XLOOKUP(K$37,'Assumptions - Capping'!$D$4:$H$4,'Assumptions - Capping'!$D$7:$H$7)</f>
        <v>0.5</v>
      </c>
      <c r="L59" s="70">
        <f>_xlfn.XLOOKUP(L$37,'Assumptions - Capping'!$D$4:$H$4,'Assumptions - Capping'!$D$7:$H$7)</f>
        <v>0.5</v>
      </c>
      <c r="M59" s="70">
        <f>_xlfn.XLOOKUP(M$37,'Assumptions - Capping'!$D$4:$H$4,'Assumptions - Capping'!$D$7:$H$7)</f>
        <v>0.5</v>
      </c>
      <c r="N59" s="70">
        <f>_xlfn.XLOOKUP(N$37,'Assumptions - Capping'!$D$4:$H$4,'Assumptions - Capping'!$D$7:$H$7)</f>
        <v>0.5</v>
      </c>
      <c r="O59" s="70">
        <f>_xlfn.XLOOKUP(O$37,'Assumptions - Capping'!$D$4:$H$4,'Assumptions - Capping'!$D$7:$H$7)</f>
        <v>0.5</v>
      </c>
      <c r="P59" s="70">
        <f>_xlfn.XLOOKUP(P$37,'Assumptions - Capping'!$D$4:$H$4,'Assumptions - Capping'!$D$7:$H$7)</f>
        <v>0.5</v>
      </c>
      <c r="Q59" s="397"/>
      <c r="R59" s="82"/>
    </row>
    <row r="60" spans="2:18" hidden="1">
      <c r="B60" s="94" t="s">
        <v>533</v>
      </c>
      <c r="C60" s="183"/>
      <c r="D60" s="194"/>
      <c r="E60" s="47" t="s">
        <v>305</v>
      </c>
      <c r="F60" s="28" t="s">
        <v>211</v>
      </c>
      <c r="G60" s="411"/>
      <c r="H60" s="411"/>
      <c r="I60" s="411"/>
      <c r="J60" s="411"/>
      <c r="K60" s="411"/>
      <c r="L60" s="411"/>
      <c r="M60" s="411"/>
      <c r="N60" s="411"/>
      <c r="O60" s="411"/>
      <c r="P60" s="411"/>
      <c r="Q60" s="397"/>
      <c r="R60" s="44" t="s">
        <v>864</v>
      </c>
    </row>
    <row r="61" spans="2:18" hidden="1">
      <c r="B61" s="94" t="s">
        <v>533</v>
      </c>
      <c r="C61" s="183"/>
      <c r="D61" s="194"/>
      <c r="E61" s="47" t="s">
        <v>306</v>
      </c>
      <c r="F61" s="28" t="s">
        <v>211</v>
      </c>
      <c r="G61" s="70">
        <f>IF(G60="",G59,G60)</f>
        <v>0.5</v>
      </c>
      <c r="H61" s="70">
        <f t="shared" ref="H61:P61" si="29">IF(H60="",H59,H60)</f>
        <v>0.5</v>
      </c>
      <c r="I61" s="70">
        <f t="shared" si="29"/>
        <v>0.5</v>
      </c>
      <c r="J61" s="70">
        <f t="shared" si="29"/>
        <v>0.5</v>
      </c>
      <c r="K61" s="70">
        <f t="shared" si="29"/>
        <v>0.5</v>
      </c>
      <c r="L61" s="70">
        <f t="shared" si="29"/>
        <v>0.5</v>
      </c>
      <c r="M61" s="70">
        <f t="shared" si="29"/>
        <v>0.5</v>
      </c>
      <c r="N61" s="70">
        <f t="shared" si="29"/>
        <v>0.5</v>
      </c>
      <c r="O61" s="70">
        <f t="shared" si="29"/>
        <v>0.5</v>
      </c>
      <c r="P61" s="70">
        <f t="shared" si="29"/>
        <v>0.5</v>
      </c>
      <c r="Q61" s="397"/>
      <c r="R61" s="44" t="str">
        <f>IF(OR(G61&lt;G59,H61&lt;H59,I61&lt;I59,J61&lt;J59,K61&lt;K59,L61&lt;L59,M61&lt;M59,N61&lt;N59,O61&lt;O59,P61&lt;P59),"Add justification for lower thickness.","If user enters less than default they must provide justification.")</f>
        <v>If user enters less than default they must provide justification.</v>
      </c>
    </row>
    <row r="62" spans="2:18" hidden="1">
      <c r="B62" s="94" t="s">
        <v>533</v>
      </c>
      <c r="C62" s="183"/>
      <c r="D62" s="196"/>
      <c r="E62" s="47" t="s">
        <v>307</v>
      </c>
      <c r="F62" s="28" t="s">
        <v>219</v>
      </c>
      <c r="G62" s="58">
        <f t="shared" ref="G62:P62" si="30">G41*Conv_sqm_ha*G61</f>
        <v>0</v>
      </c>
      <c r="H62" s="58">
        <f t="shared" si="30"/>
        <v>0</v>
      </c>
      <c r="I62" s="58">
        <f t="shared" si="30"/>
        <v>0</v>
      </c>
      <c r="J62" s="58">
        <f t="shared" si="30"/>
        <v>0</v>
      </c>
      <c r="K62" s="58">
        <f t="shared" si="30"/>
        <v>0</v>
      </c>
      <c r="L62" s="58">
        <f t="shared" si="30"/>
        <v>0</v>
      </c>
      <c r="M62" s="58">
        <f t="shared" si="30"/>
        <v>0</v>
      </c>
      <c r="N62" s="58">
        <f t="shared" si="30"/>
        <v>0</v>
      </c>
      <c r="O62" s="58">
        <f t="shared" si="30"/>
        <v>0</v>
      </c>
      <c r="P62" s="58">
        <f t="shared" si="30"/>
        <v>0</v>
      </c>
      <c r="Q62" s="397"/>
      <c r="R62" s="82"/>
    </row>
    <row r="63" spans="2:18" ht="33.75" hidden="1">
      <c r="B63" s="94" t="s">
        <v>533</v>
      </c>
      <c r="C63" s="183"/>
      <c r="D63" s="192" t="s">
        <v>873</v>
      </c>
      <c r="E63" s="121" t="s">
        <v>762</v>
      </c>
      <c r="F63" s="28" t="s">
        <v>123</v>
      </c>
      <c r="G63" s="461" t="s">
        <v>239</v>
      </c>
      <c r="H63" s="461" t="s">
        <v>239</v>
      </c>
      <c r="I63" s="461" t="s">
        <v>239</v>
      </c>
      <c r="J63" s="461" t="s">
        <v>239</v>
      </c>
      <c r="K63" s="461" t="s">
        <v>239</v>
      </c>
      <c r="L63" s="461" t="s">
        <v>239</v>
      </c>
      <c r="M63" s="461" t="s">
        <v>239</v>
      </c>
      <c r="N63" s="461" t="s">
        <v>239</v>
      </c>
      <c r="O63" s="461" t="s">
        <v>239</v>
      </c>
      <c r="P63" s="461" t="s">
        <v>239</v>
      </c>
      <c r="Q63" s="397"/>
      <c r="R63" s="82"/>
    </row>
    <row r="64" spans="2:18" hidden="1">
      <c r="B64" s="94" t="s">
        <v>533</v>
      </c>
      <c r="C64" s="183"/>
      <c r="D64" s="194"/>
      <c r="E64" s="47" t="s">
        <v>227</v>
      </c>
      <c r="F64" s="28" t="s">
        <v>241</v>
      </c>
      <c r="G64" s="54">
        <f t="shared" ref="G64:J64" si="31">_xlfn.XLOOKUP(G63,Load_haul_fill_names_CS,Load_haul_fill_rates_CS)</f>
        <v>7.5000815645944918</v>
      </c>
      <c r="H64" s="54">
        <f t="shared" si="31"/>
        <v>7.5000815645944918</v>
      </c>
      <c r="I64" s="54">
        <f t="shared" si="31"/>
        <v>7.5000815645944918</v>
      </c>
      <c r="J64" s="54">
        <f t="shared" si="31"/>
        <v>7.5000815645944918</v>
      </c>
      <c r="K64" s="54">
        <f t="shared" ref="K64:P64" si="32">_xlfn.XLOOKUP(K63,Load_haul_fill_names_CS,Load_haul_fill_rates_CS)</f>
        <v>7.5000815645944918</v>
      </c>
      <c r="L64" s="54">
        <f t="shared" si="32"/>
        <v>7.5000815645944918</v>
      </c>
      <c r="M64" s="54">
        <f t="shared" si="32"/>
        <v>7.5000815645944918</v>
      </c>
      <c r="N64" s="54">
        <f t="shared" si="32"/>
        <v>7.5000815645944918</v>
      </c>
      <c r="O64" s="54">
        <f t="shared" si="32"/>
        <v>7.5000815645944918</v>
      </c>
      <c r="P64" s="54">
        <f t="shared" si="32"/>
        <v>7.5000815645944918</v>
      </c>
      <c r="Q64" s="397"/>
      <c r="R64" s="44"/>
    </row>
    <row r="65" spans="2:18" hidden="1">
      <c r="B65" s="94" t="s">
        <v>533</v>
      </c>
      <c r="C65" s="183"/>
      <c r="D65" s="194"/>
      <c r="E65" s="47" t="s">
        <v>229</v>
      </c>
      <c r="F65" s="28" t="s">
        <v>241</v>
      </c>
      <c r="G65" s="537"/>
      <c r="H65" s="537"/>
      <c r="I65" s="537"/>
      <c r="J65" s="537"/>
      <c r="K65" s="537"/>
      <c r="L65" s="537"/>
      <c r="M65" s="537"/>
      <c r="N65" s="537"/>
      <c r="O65" s="537"/>
      <c r="P65" s="537"/>
      <c r="Q65" s="397"/>
      <c r="R65" s="82"/>
    </row>
    <row r="66" spans="2:18" hidden="1">
      <c r="B66" s="94" t="s">
        <v>533</v>
      </c>
      <c r="C66" s="185"/>
      <c r="D66" s="194"/>
      <c r="E66" s="47" t="s">
        <v>146</v>
      </c>
      <c r="F66" s="28" t="s">
        <v>207</v>
      </c>
      <c r="G66" s="93">
        <f t="shared" ref="G66:P66" si="33">G64*(G46+G62)</f>
        <v>0</v>
      </c>
      <c r="H66" s="93">
        <f t="shared" si="33"/>
        <v>0</v>
      </c>
      <c r="I66" s="93">
        <f t="shared" si="33"/>
        <v>0</v>
      </c>
      <c r="J66" s="93">
        <f t="shared" si="33"/>
        <v>0</v>
      </c>
      <c r="K66" s="93">
        <f t="shared" si="33"/>
        <v>0</v>
      </c>
      <c r="L66" s="93">
        <f t="shared" si="33"/>
        <v>0</v>
      </c>
      <c r="M66" s="93">
        <f t="shared" si="33"/>
        <v>0</v>
      </c>
      <c r="N66" s="93">
        <f t="shared" si="33"/>
        <v>0</v>
      </c>
      <c r="O66" s="93">
        <f t="shared" si="33"/>
        <v>0</v>
      </c>
      <c r="P66" s="93">
        <f t="shared" si="33"/>
        <v>0</v>
      </c>
      <c r="Q66" s="397"/>
      <c r="R66" s="82"/>
    </row>
    <row r="67" spans="2:18" ht="33.75" hidden="1">
      <c r="B67" s="94" t="s">
        <v>533</v>
      </c>
      <c r="C67" s="181" t="s">
        <v>764</v>
      </c>
      <c r="D67" s="194"/>
      <c r="E67" s="47" t="s">
        <v>874</v>
      </c>
      <c r="F67" s="28" t="s">
        <v>123</v>
      </c>
      <c r="G67" s="464" t="s">
        <v>875</v>
      </c>
      <c r="H67" s="464" t="s">
        <v>875</v>
      </c>
      <c r="I67" s="464" t="s">
        <v>875</v>
      </c>
      <c r="J67" s="464" t="s">
        <v>875</v>
      </c>
      <c r="K67" s="464" t="s">
        <v>875</v>
      </c>
      <c r="L67" s="464" t="s">
        <v>875</v>
      </c>
      <c r="M67" s="464" t="s">
        <v>875</v>
      </c>
      <c r="N67" s="464" t="s">
        <v>875</v>
      </c>
      <c r="O67" s="464" t="s">
        <v>875</v>
      </c>
      <c r="P67" s="464" t="s">
        <v>875</v>
      </c>
      <c r="Q67" s="397"/>
      <c r="R67" s="82"/>
    </row>
    <row r="68" spans="2:18" hidden="1">
      <c r="B68" s="94" t="s">
        <v>533</v>
      </c>
      <c r="C68" s="183"/>
      <c r="D68" s="194"/>
      <c r="E68" s="47" t="s">
        <v>227</v>
      </c>
      <c r="F68" s="28" t="s">
        <v>241</v>
      </c>
      <c r="G68" s="54">
        <f t="shared" ref="G68:J68" si="34">_xlfn.XLOOKUP(G67,Dozer_push_names_CS,Dozer_push_rates_CS)</f>
        <v>1.8084243133374003</v>
      </c>
      <c r="H68" s="54">
        <f t="shared" si="34"/>
        <v>1.8084243133374003</v>
      </c>
      <c r="I68" s="54">
        <f t="shared" si="34"/>
        <v>1.8084243133374003</v>
      </c>
      <c r="J68" s="54">
        <f t="shared" si="34"/>
        <v>1.8084243133374003</v>
      </c>
      <c r="K68" s="54">
        <f t="shared" ref="K68:P68" si="35">_xlfn.XLOOKUP(K67,Dozer_push_names_CS,Dozer_push_rates_CS)</f>
        <v>1.8084243133374003</v>
      </c>
      <c r="L68" s="54">
        <f t="shared" si="35"/>
        <v>1.8084243133374003</v>
      </c>
      <c r="M68" s="54">
        <f t="shared" si="35"/>
        <v>1.8084243133374003</v>
      </c>
      <c r="N68" s="54">
        <f t="shared" si="35"/>
        <v>1.8084243133374003</v>
      </c>
      <c r="O68" s="54">
        <f t="shared" si="35"/>
        <v>1.8084243133374003</v>
      </c>
      <c r="P68" s="54">
        <f t="shared" si="35"/>
        <v>1.8084243133374003</v>
      </c>
      <c r="Q68" s="397"/>
      <c r="R68" s="44"/>
    </row>
    <row r="69" spans="2:18" hidden="1">
      <c r="B69" s="94" t="s">
        <v>533</v>
      </c>
      <c r="C69" s="183"/>
      <c r="D69" s="194"/>
      <c r="E69" s="47" t="s">
        <v>229</v>
      </c>
      <c r="F69" s="28" t="s">
        <v>241</v>
      </c>
      <c r="G69" s="537"/>
      <c r="H69" s="537"/>
      <c r="I69" s="537"/>
      <c r="J69" s="537"/>
      <c r="K69" s="537"/>
      <c r="L69" s="537"/>
      <c r="M69" s="537"/>
      <c r="N69" s="537"/>
      <c r="O69" s="537"/>
      <c r="P69" s="537"/>
      <c r="Q69" s="397"/>
      <c r="R69" s="82"/>
    </row>
    <row r="70" spans="2:18" hidden="1">
      <c r="B70" s="94" t="s">
        <v>533</v>
      </c>
      <c r="C70" s="183"/>
      <c r="D70" s="194"/>
      <c r="E70" s="47" t="s">
        <v>146</v>
      </c>
      <c r="F70" s="28" t="s">
        <v>207</v>
      </c>
      <c r="G70" s="117">
        <f t="shared" ref="G70:O70" si="36">IF(G69="",G68,G69)*(G46+G62)</f>
        <v>0</v>
      </c>
      <c r="H70" s="117">
        <f t="shared" si="36"/>
        <v>0</v>
      </c>
      <c r="I70" s="117">
        <f t="shared" si="36"/>
        <v>0</v>
      </c>
      <c r="J70" s="117">
        <f t="shared" si="36"/>
        <v>0</v>
      </c>
      <c r="K70" s="117">
        <f t="shared" si="36"/>
        <v>0</v>
      </c>
      <c r="L70" s="117">
        <f t="shared" si="36"/>
        <v>0</v>
      </c>
      <c r="M70" s="117">
        <f t="shared" si="36"/>
        <v>0</v>
      </c>
      <c r="N70" s="117">
        <f t="shared" si="36"/>
        <v>0</v>
      </c>
      <c r="O70" s="117">
        <f t="shared" si="36"/>
        <v>0</v>
      </c>
      <c r="P70" s="117">
        <f>P68*(P46+P62)</f>
        <v>0</v>
      </c>
      <c r="Q70" s="397"/>
      <c r="R70" s="82"/>
    </row>
    <row r="71" spans="2:18" ht="33.75" hidden="1">
      <c r="B71" s="94" t="s">
        <v>533</v>
      </c>
      <c r="C71" s="185"/>
      <c r="D71" s="194"/>
      <c r="E71" s="47" t="s">
        <v>735</v>
      </c>
      <c r="F71" s="28" t="s">
        <v>123</v>
      </c>
      <c r="G71" s="464" t="s">
        <v>737</v>
      </c>
      <c r="H71" s="464" t="s">
        <v>737</v>
      </c>
      <c r="I71" s="464" t="s">
        <v>737</v>
      </c>
      <c r="J71" s="464" t="s">
        <v>737</v>
      </c>
      <c r="K71" s="464" t="s">
        <v>737</v>
      </c>
      <c r="L71" s="464" t="s">
        <v>737</v>
      </c>
      <c r="M71" s="464" t="s">
        <v>737</v>
      </c>
      <c r="N71" s="464" t="s">
        <v>737</v>
      </c>
      <c r="O71" s="464" t="s">
        <v>737</v>
      </c>
      <c r="P71" s="464" t="s">
        <v>737</v>
      </c>
      <c r="Q71" s="397"/>
      <c r="R71" s="82"/>
    </row>
    <row r="72" spans="2:18" hidden="1">
      <c r="B72" s="94" t="s">
        <v>533</v>
      </c>
      <c r="C72" s="181" t="s">
        <v>767</v>
      </c>
      <c r="D72" s="194"/>
      <c r="E72" s="47" t="s">
        <v>227</v>
      </c>
      <c r="F72" s="28" t="s">
        <v>329</v>
      </c>
      <c r="G72" s="54">
        <f t="shared" ref="G72:J72" si="37">_xlfn.XLOOKUP(G71,Dozer_shape_doze_for_drainage_names_CS,Dozer_shape_doze_for_drainage_rates_CS)</f>
        <v>6726.2274169792872</v>
      </c>
      <c r="H72" s="54">
        <f t="shared" si="37"/>
        <v>6726.2274169792872</v>
      </c>
      <c r="I72" s="54">
        <f t="shared" si="37"/>
        <v>6726.2274169792872</v>
      </c>
      <c r="J72" s="54">
        <f t="shared" si="37"/>
        <v>6726.2274169792872</v>
      </c>
      <c r="K72" s="54">
        <f t="shared" ref="K72:P72" si="38">_xlfn.XLOOKUP(K71,Dozer_shape_doze_for_drainage_names_CS,Dozer_shape_doze_for_drainage_rates_CS)</f>
        <v>6726.2274169792872</v>
      </c>
      <c r="L72" s="54">
        <f t="shared" si="38"/>
        <v>6726.2274169792872</v>
      </c>
      <c r="M72" s="54">
        <f t="shared" si="38"/>
        <v>6726.2274169792872</v>
      </c>
      <c r="N72" s="54">
        <f t="shared" si="38"/>
        <v>6726.2274169792872</v>
      </c>
      <c r="O72" s="54">
        <f t="shared" si="38"/>
        <v>6726.2274169792872</v>
      </c>
      <c r="P72" s="54">
        <f t="shared" si="38"/>
        <v>6726.2274169792872</v>
      </c>
      <c r="Q72" s="397"/>
      <c r="R72" s="44"/>
    </row>
    <row r="73" spans="2:18" hidden="1">
      <c r="B73" s="94" t="s">
        <v>533</v>
      </c>
      <c r="C73" s="183"/>
      <c r="D73" s="194"/>
      <c r="E73" s="47" t="s">
        <v>229</v>
      </c>
      <c r="F73" s="28" t="s">
        <v>329</v>
      </c>
      <c r="G73" s="537"/>
      <c r="H73" s="537"/>
      <c r="I73" s="537"/>
      <c r="J73" s="537"/>
      <c r="K73" s="537"/>
      <c r="L73" s="537"/>
      <c r="M73" s="537"/>
      <c r="N73" s="537"/>
      <c r="O73" s="537"/>
      <c r="P73" s="537"/>
      <c r="Q73" s="397"/>
      <c r="R73" s="82"/>
    </row>
    <row r="74" spans="2:18" hidden="1">
      <c r="B74" s="94" t="s">
        <v>533</v>
      </c>
      <c r="C74" s="185"/>
      <c r="D74" s="196"/>
      <c r="E74" s="55" t="s">
        <v>146</v>
      </c>
      <c r="F74" s="28" t="s">
        <v>207</v>
      </c>
      <c r="G74" s="117">
        <f t="shared" ref="G74:P74" si="39">IF(G73="",G72,G73)*(G40+G41)</f>
        <v>0</v>
      </c>
      <c r="H74" s="117">
        <f t="shared" si="39"/>
        <v>0</v>
      </c>
      <c r="I74" s="117">
        <f t="shared" si="39"/>
        <v>0</v>
      </c>
      <c r="J74" s="117">
        <f t="shared" si="39"/>
        <v>0</v>
      </c>
      <c r="K74" s="117">
        <f t="shared" si="39"/>
        <v>0</v>
      </c>
      <c r="L74" s="117">
        <f t="shared" si="39"/>
        <v>0</v>
      </c>
      <c r="M74" s="117">
        <f t="shared" si="39"/>
        <v>0</v>
      </c>
      <c r="N74" s="117">
        <f t="shared" si="39"/>
        <v>0</v>
      </c>
      <c r="O74" s="117">
        <f t="shared" si="39"/>
        <v>0</v>
      </c>
      <c r="P74" s="117">
        <f t="shared" si="39"/>
        <v>0</v>
      </c>
      <c r="Q74" s="397"/>
      <c r="R74" s="82"/>
    </row>
    <row r="75" spans="2:18" hidden="1">
      <c r="B75" s="94" t="s">
        <v>533</v>
      </c>
      <c r="C75" s="158"/>
      <c r="D75" s="66"/>
      <c r="E75" s="67" t="str">
        <f>C43</f>
        <v>Cover embankments and ramps with rock</v>
      </c>
      <c r="F75" s="62" t="s">
        <v>207</v>
      </c>
      <c r="G75" s="83">
        <f>G50+G54+G58+G66+G70+G74</f>
        <v>0</v>
      </c>
      <c r="H75" s="83">
        <f t="shared" ref="H75:P75" si="40">H50+H54+H58+H66+H70+H74</f>
        <v>0</v>
      </c>
      <c r="I75" s="83">
        <f t="shared" si="40"/>
        <v>0</v>
      </c>
      <c r="J75" s="83">
        <f t="shared" si="40"/>
        <v>0</v>
      </c>
      <c r="K75" s="83">
        <f t="shared" si="40"/>
        <v>0</v>
      </c>
      <c r="L75" s="83">
        <f t="shared" si="40"/>
        <v>0</v>
      </c>
      <c r="M75" s="83">
        <f t="shared" si="40"/>
        <v>0</v>
      </c>
      <c r="N75" s="83">
        <f t="shared" si="40"/>
        <v>0</v>
      </c>
      <c r="O75" s="83">
        <f t="shared" si="40"/>
        <v>0</v>
      </c>
      <c r="P75" s="83">
        <f t="shared" si="40"/>
        <v>0</v>
      </c>
      <c r="Q75" s="397"/>
      <c r="R75" s="82"/>
    </row>
    <row r="76" spans="2:18" hidden="1">
      <c r="B76" s="94" t="s">
        <v>533</v>
      </c>
      <c r="C76" s="159" t="s">
        <v>768</v>
      </c>
      <c r="D76" s="59" t="s">
        <v>769</v>
      </c>
      <c r="E76" s="49" t="s">
        <v>623</v>
      </c>
      <c r="F76" s="28" t="s">
        <v>299</v>
      </c>
      <c r="G76" s="70">
        <f t="shared" ref="G76:P76" si="41">G$39</f>
        <v>0</v>
      </c>
      <c r="H76" s="70">
        <f t="shared" si="41"/>
        <v>0</v>
      </c>
      <c r="I76" s="70">
        <f t="shared" si="41"/>
        <v>0</v>
      </c>
      <c r="J76" s="70">
        <f t="shared" si="41"/>
        <v>0</v>
      </c>
      <c r="K76" s="70">
        <f t="shared" si="41"/>
        <v>0</v>
      </c>
      <c r="L76" s="70">
        <f t="shared" si="41"/>
        <v>0</v>
      </c>
      <c r="M76" s="70">
        <f t="shared" si="41"/>
        <v>0</v>
      </c>
      <c r="N76" s="70">
        <f t="shared" si="41"/>
        <v>0</v>
      </c>
      <c r="O76" s="70">
        <f t="shared" si="41"/>
        <v>0</v>
      </c>
      <c r="P76" s="70">
        <f t="shared" si="41"/>
        <v>0</v>
      </c>
      <c r="Q76" s="397"/>
      <c r="R76" s="44"/>
    </row>
    <row r="77" spans="2:18" hidden="1">
      <c r="B77" s="94" t="s">
        <v>533</v>
      </c>
      <c r="C77" s="52"/>
      <c r="D77" s="60"/>
      <c r="E77" s="49" t="s">
        <v>624</v>
      </c>
      <c r="F77" s="28" t="s">
        <v>299</v>
      </c>
      <c r="G77" s="531"/>
      <c r="H77" s="531"/>
      <c r="I77" s="531"/>
      <c r="J77" s="531"/>
      <c r="K77" s="531"/>
      <c r="L77" s="531"/>
      <c r="M77" s="531"/>
      <c r="N77" s="531"/>
      <c r="O77" s="531"/>
      <c r="P77" s="531"/>
      <c r="Q77" s="397"/>
      <c r="R77" s="82"/>
    </row>
    <row r="78" spans="2:18" hidden="1">
      <c r="B78" s="94" t="s">
        <v>533</v>
      </c>
      <c r="C78" s="52"/>
      <c r="D78" s="60"/>
      <c r="E78" s="49" t="s">
        <v>625</v>
      </c>
      <c r="F78" s="28" t="s">
        <v>299</v>
      </c>
      <c r="G78" s="70">
        <f t="shared" ref="G78:J78" si="42">IF(G77="",G76,G77)</f>
        <v>0</v>
      </c>
      <c r="H78" s="70">
        <f t="shared" si="42"/>
        <v>0</v>
      </c>
      <c r="I78" s="70">
        <f t="shared" si="42"/>
        <v>0</v>
      </c>
      <c r="J78" s="70">
        <f t="shared" si="42"/>
        <v>0</v>
      </c>
      <c r="K78" s="70">
        <f t="shared" ref="K78:P78" si="43">IF(K77="",K76,K77)</f>
        <v>0</v>
      </c>
      <c r="L78" s="70">
        <f t="shared" si="43"/>
        <v>0</v>
      </c>
      <c r="M78" s="70">
        <f t="shared" si="43"/>
        <v>0</v>
      </c>
      <c r="N78" s="70">
        <f t="shared" si="43"/>
        <v>0</v>
      </c>
      <c r="O78" s="70">
        <f t="shared" si="43"/>
        <v>0</v>
      </c>
      <c r="P78" s="70">
        <f t="shared" si="43"/>
        <v>0</v>
      </c>
      <c r="Q78" s="397"/>
      <c r="R78" s="44"/>
    </row>
    <row r="79" spans="2:18" hidden="1">
      <c r="B79" s="94" t="s">
        <v>533</v>
      </c>
      <c r="C79" s="52"/>
      <c r="D79" s="60"/>
      <c r="E79" s="47" t="s">
        <v>759</v>
      </c>
      <c r="F79" s="28" t="s">
        <v>211</v>
      </c>
      <c r="G79" s="70">
        <f>_xlfn.XLOOKUP(G$37,'Assumptions - Capping'!$D$4:$H$4,'Assumptions - Capping'!$D$8:$H$8)</f>
        <v>4</v>
      </c>
      <c r="H79" s="70">
        <f>_xlfn.XLOOKUP(H$37,'Assumptions - Capping'!$D$4:$H$4,'Assumptions - Capping'!$D$8:$H$8)</f>
        <v>0.5</v>
      </c>
      <c r="I79" s="70">
        <f>_xlfn.XLOOKUP(I$37,'Assumptions - Capping'!$D$4:$H$4,'Assumptions - Capping'!$D$8:$H$8)</f>
        <v>0.3</v>
      </c>
      <c r="J79" s="70">
        <f>_xlfn.XLOOKUP(J$37,'Assumptions - Capping'!$D$4:$H$4,'Assumptions - Capping'!$D$8:$H$8)</f>
        <v>0</v>
      </c>
      <c r="K79" s="70">
        <f>_xlfn.XLOOKUP(K$37,'Assumptions - Capping'!$D$4:$H$4,'Assumptions - Capping'!$D$8:$H$8)</f>
        <v>0</v>
      </c>
      <c r="L79" s="70">
        <f>_xlfn.XLOOKUP(L$37,'Assumptions - Capping'!$D$4:$H$4,'Assumptions - Capping'!$D$8:$H$8)</f>
        <v>0.5</v>
      </c>
      <c r="M79" s="70">
        <f>_xlfn.XLOOKUP(M$37,'Assumptions - Capping'!$D$4:$H$4,'Assumptions - Capping'!$D$8:$H$8)</f>
        <v>0.5</v>
      </c>
      <c r="N79" s="70">
        <f>_xlfn.XLOOKUP(N$37,'Assumptions - Capping'!$D$4:$H$4,'Assumptions - Capping'!$D$8:$H$8)</f>
        <v>0.5</v>
      </c>
      <c r="O79" s="70">
        <f>_xlfn.XLOOKUP(O$37,'Assumptions - Capping'!$D$4:$H$4,'Assumptions - Capping'!$D$8:$H$8)</f>
        <v>0.5</v>
      </c>
      <c r="P79" s="70">
        <f>_xlfn.XLOOKUP(P$37,'Assumptions - Capping'!$D$4:$H$4,'Assumptions - Capping'!$D$8:$H$8)</f>
        <v>0.5</v>
      </c>
      <c r="Q79" s="397"/>
      <c r="R79" s="82"/>
    </row>
    <row r="80" spans="2:18" hidden="1">
      <c r="B80" s="94" t="s">
        <v>533</v>
      </c>
      <c r="C80" s="52"/>
      <c r="D80" s="60"/>
      <c r="E80" s="47" t="s">
        <v>760</v>
      </c>
      <c r="F80" s="28" t="s">
        <v>211</v>
      </c>
      <c r="G80" s="411"/>
      <c r="H80" s="411"/>
      <c r="I80" s="411"/>
      <c r="J80" s="411"/>
      <c r="K80" s="411"/>
      <c r="L80" s="411"/>
      <c r="M80" s="411"/>
      <c r="N80" s="411"/>
      <c r="O80" s="411"/>
      <c r="P80" s="411"/>
      <c r="Q80" s="397"/>
      <c r="R80" s="44" t="s">
        <v>864</v>
      </c>
    </row>
    <row r="81" spans="2:18" hidden="1">
      <c r="B81" s="94" t="s">
        <v>533</v>
      </c>
      <c r="C81" s="52"/>
      <c r="D81" s="60"/>
      <c r="E81" s="47" t="s">
        <v>761</v>
      </c>
      <c r="F81" s="28" t="s">
        <v>211</v>
      </c>
      <c r="G81" s="70">
        <f>IF(G80="",G79,G80)</f>
        <v>4</v>
      </c>
      <c r="H81" s="70">
        <f t="shared" ref="H81:P81" si="44">IF(H80="",H79,H80)</f>
        <v>0.5</v>
      </c>
      <c r="I81" s="70">
        <f t="shared" si="44"/>
        <v>0.3</v>
      </c>
      <c r="J81" s="70">
        <f t="shared" si="44"/>
        <v>0</v>
      </c>
      <c r="K81" s="70">
        <f t="shared" si="44"/>
        <v>0</v>
      </c>
      <c r="L81" s="70">
        <f t="shared" si="44"/>
        <v>0.5</v>
      </c>
      <c r="M81" s="70">
        <f t="shared" si="44"/>
        <v>0.5</v>
      </c>
      <c r="N81" s="70">
        <f t="shared" si="44"/>
        <v>0.5</v>
      </c>
      <c r="O81" s="70">
        <f t="shared" si="44"/>
        <v>0.5</v>
      </c>
      <c r="P81" s="70">
        <f t="shared" si="44"/>
        <v>0.5</v>
      </c>
      <c r="Q81" s="397"/>
      <c r="R81" s="44" t="str">
        <f>IF(OR(G81&lt;G79,H81&lt;H79,I81&lt;I79,J81&lt;J79,K81&lt;K79,L81&lt;L79,M81&lt;M79,N81&lt;N79,O81&lt;O79,P81&lt;P79),"Add justification for lower thickness.","If user enters less than default they must provide justification.")</f>
        <v>If user enters less than default they must provide justification.</v>
      </c>
    </row>
    <row r="82" spans="2:18" hidden="1">
      <c r="B82" s="94" t="s">
        <v>533</v>
      </c>
      <c r="C82" s="52"/>
      <c r="D82" s="60"/>
      <c r="E82" s="47" t="s">
        <v>307</v>
      </c>
      <c r="F82" s="28" t="s">
        <v>219</v>
      </c>
      <c r="G82" s="58">
        <f t="shared" ref="G82:P82" si="45">G78*Conv_sqm_ha*G81</f>
        <v>0</v>
      </c>
      <c r="H82" s="58">
        <f t="shared" si="45"/>
        <v>0</v>
      </c>
      <c r="I82" s="58">
        <f t="shared" si="45"/>
        <v>0</v>
      </c>
      <c r="J82" s="58">
        <f t="shared" si="45"/>
        <v>0</v>
      </c>
      <c r="K82" s="58">
        <f t="shared" si="45"/>
        <v>0</v>
      </c>
      <c r="L82" s="58">
        <f t="shared" si="45"/>
        <v>0</v>
      </c>
      <c r="M82" s="58">
        <f t="shared" si="45"/>
        <v>0</v>
      </c>
      <c r="N82" s="58">
        <f t="shared" si="45"/>
        <v>0</v>
      </c>
      <c r="O82" s="58">
        <f t="shared" si="45"/>
        <v>0</v>
      </c>
      <c r="P82" s="58">
        <f t="shared" si="45"/>
        <v>0</v>
      </c>
      <c r="Q82" s="397"/>
      <c r="R82" s="44"/>
    </row>
    <row r="83" spans="2:18" hidden="1">
      <c r="B83" s="94" t="s">
        <v>533</v>
      </c>
      <c r="C83" s="50" t="s">
        <v>770</v>
      </c>
      <c r="D83" s="60"/>
      <c r="E83" s="49" t="s">
        <v>771</v>
      </c>
      <c r="F83" s="28" t="s">
        <v>241</v>
      </c>
      <c r="G83" s="54">
        <f>IF(G79=0,0,'Cost Schedule'!$D$426)</f>
        <v>0.99788583509513729</v>
      </c>
      <c r="H83" s="54">
        <f>IF(H79=0,0,'Cost Schedule'!$D$426)</f>
        <v>0.99788583509513729</v>
      </c>
      <c r="I83" s="54">
        <f>IF(I79=0,0,'Cost Schedule'!$D$426)</f>
        <v>0.99788583509513729</v>
      </c>
      <c r="J83" s="54">
        <f>IF(J79=0,0,'Cost Schedule'!$D$426)</f>
        <v>0</v>
      </c>
      <c r="K83" s="54">
        <f>IF(K79=0,0,'Cost Schedule'!$D$426)</f>
        <v>0</v>
      </c>
      <c r="L83" s="54">
        <f>IF(L79=0,0,'Cost Schedule'!$D$426)</f>
        <v>0.99788583509513729</v>
      </c>
      <c r="M83" s="54">
        <f>IF(M79=0,0,'Cost Schedule'!$D$426)</f>
        <v>0.99788583509513729</v>
      </c>
      <c r="N83" s="54">
        <f>IF(N79=0,0,'Cost Schedule'!$D$426)</f>
        <v>0.99788583509513729</v>
      </c>
      <c r="O83" s="54">
        <f>IF(O79=0,0,'Cost Schedule'!$D$426)</f>
        <v>0.99788583509513729</v>
      </c>
      <c r="P83" s="54">
        <f>IF(P79=0,0,'Cost Schedule'!$D$426)</f>
        <v>0.99788583509513729</v>
      </c>
      <c r="Q83" s="397"/>
      <c r="R83" s="44"/>
    </row>
    <row r="84" spans="2:18" hidden="1">
      <c r="B84" s="94" t="s">
        <v>533</v>
      </c>
      <c r="C84" s="52"/>
      <c r="D84" s="60"/>
      <c r="E84" s="49" t="s">
        <v>772</v>
      </c>
      <c r="F84" s="28" t="s">
        <v>241</v>
      </c>
      <c r="G84" s="537"/>
      <c r="H84" s="537"/>
      <c r="I84" s="537"/>
      <c r="J84" s="537"/>
      <c r="K84" s="537"/>
      <c r="L84" s="537"/>
      <c r="M84" s="537"/>
      <c r="N84" s="537"/>
      <c r="O84" s="537"/>
      <c r="P84" s="537"/>
      <c r="Q84" s="397"/>
      <c r="R84" s="82"/>
    </row>
    <row r="85" spans="2:18" hidden="1">
      <c r="B85" s="94" t="s">
        <v>533</v>
      </c>
      <c r="C85" s="52"/>
      <c r="D85" s="60"/>
      <c r="E85" s="49" t="s">
        <v>773</v>
      </c>
      <c r="F85" s="28" t="s">
        <v>207</v>
      </c>
      <c r="G85" s="122">
        <f t="shared" ref="G85:J85" si="46">IF(G84="",G83,G84)*G82</f>
        <v>0</v>
      </c>
      <c r="H85" s="122">
        <f t="shared" si="46"/>
        <v>0</v>
      </c>
      <c r="I85" s="122">
        <f t="shared" si="46"/>
        <v>0</v>
      </c>
      <c r="J85" s="122">
        <f t="shared" si="46"/>
        <v>0</v>
      </c>
      <c r="K85" s="122">
        <f t="shared" ref="K85" si="47">IF(K84="",K83,K84)*K82</f>
        <v>0</v>
      </c>
      <c r="L85" s="122">
        <f t="shared" ref="L85" si="48">IF(L84="",L83,L84)*L82</f>
        <v>0</v>
      </c>
      <c r="M85" s="122">
        <f t="shared" ref="M85" si="49">IF(M84="",M83,M84)*M82</f>
        <v>0</v>
      </c>
      <c r="N85" s="122">
        <f t="shared" ref="N85" si="50">IF(N84="",N83,N84)*N82</f>
        <v>0</v>
      </c>
      <c r="O85" s="122">
        <f t="shared" ref="O85" si="51">IF(O84="",O83,O84)*O82</f>
        <v>0</v>
      </c>
      <c r="P85" s="122">
        <f t="shared" ref="P85" si="52">IF(P84="",P83,P84)*P82</f>
        <v>0</v>
      </c>
      <c r="Q85" s="397"/>
      <c r="R85" s="44"/>
    </row>
    <row r="86" spans="2:18" ht="33.75" hidden="1">
      <c r="B86" s="94" t="s">
        <v>533</v>
      </c>
      <c r="C86" s="50" t="s">
        <v>774</v>
      </c>
      <c r="D86" s="60"/>
      <c r="E86" s="49" t="s">
        <v>634</v>
      </c>
      <c r="F86" s="28" t="s">
        <v>123</v>
      </c>
      <c r="G86" s="461" t="s">
        <v>876</v>
      </c>
      <c r="H86" s="461" t="s">
        <v>876</v>
      </c>
      <c r="I86" s="461" t="s">
        <v>876</v>
      </c>
      <c r="J86" s="461" t="s">
        <v>876</v>
      </c>
      <c r="K86" s="461" t="s">
        <v>876</v>
      </c>
      <c r="L86" s="461" t="s">
        <v>876</v>
      </c>
      <c r="M86" s="461" t="s">
        <v>876</v>
      </c>
      <c r="N86" s="461" t="s">
        <v>876</v>
      </c>
      <c r="O86" s="461" t="s">
        <v>876</v>
      </c>
      <c r="P86" s="461" t="s">
        <v>876</v>
      </c>
      <c r="Q86" s="397"/>
      <c r="R86" s="82"/>
    </row>
    <row r="87" spans="2:18" hidden="1">
      <c r="B87" s="94" t="s">
        <v>533</v>
      </c>
      <c r="C87" s="52"/>
      <c r="D87" s="60"/>
      <c r="E87" s="49" t="s">
        <v>227</v>
      </c>
      <c r="F87" s="28" t="s">
        <v>219</v>
      </c>
      <c r="G87" s="54">
        <f t="shared" ref="G87:J87" si="53">IF(G79=0,0,_xlfn.XLOOKUP(G86,Load_haul_fill_names_CS,Load_haul_fill_rates_CS))</f>
        <v>9.4868462704768426</v>
      </c>
      <c r="H87" s="54">
        <f t="shared" si="53"/>
        <v>9.4868462704768426</v>
      </c>
      <c r="I87" s="54">
        <f t="shared" si="53"/>
        <v>9.4868462704768426</v>
      </c>
      <c r="J87" s="54">
        <f t="shared" si="53"/>
        <v>0</v>
      </c>
      <c r="K87" s="54">
        <f t="shared" ref="K87:P87" si="54">IF(K79=0,0,_xlfn.XLOOKUP(K86,Load_haul_fill_names_CS,Load_haul_fill_rates_CS))</f>
        <v>0</v>
      </c>
      <c r="L87" s="54">
        <f t="shared" si="54"/>
        <v>9.4868462704768426</v>
      </c>
      <c r="M87" s="54">
        <f t="shared" si="54"/>
        <v>9.4868462704768426</v>
      </c>
      <c r="N87" s="54">
        <f t="shared" si="54"/>
        <v>9.4868462704768426</v>
      </c>
      <c r="O87" s="54">
        <f t="shared" si="54"/>
        <v>9.4868462704768426</v>
      </c>
      <c r="P87" s="54">
        <f t="shared" si="54"/>
        <v>9.4868462704768426</v>
      </c>
      <c r="Q87" s="397"/>
      <c r="R87" s="44"/>
    </row>
    <row r="88" spans="2:18" hidden="1">
      <c r="B88" s="94" t="s">
        <v>533</v>
      </c>
      <c r="C88" s="52"/>
      <c r="D88" s="60"/>
      <c r="E88" s="49" t="s">
        <v>229</v>
      </c>
      <c r="F88" s="28" t="s">
        <v>241</v>
      </c>
      <c r="G88" s="537"/>
      <c r="H88" s="537"/>
      <c r="I88" s="537"/>
      <c r="J88" s="537"/>
      <c r="K88" s="537"/>
      <c r="L88" s="537"/>
      <c r="M88" s="537"/>
      <c r="N88" s="537"/>
      <c r="O88" s="537"/>
      <c r="P88" s="537"/>
      <c r="Q88" s="397"/>
      <c r="R88" s="82"/>
    </row>
    <row r="89" spans="2:18" hidden="1">
      <c r="B89" s="94" t="s">
        <v>533</v>
      </c>
      <c r="C89" s="56"/>
      <c r="D89" s="60"/>
      <c r="E89" s="49" t="s">
        <v>146</v>
      </c>
      <c r="F89" s="28" t="s">
        <v>207</v>
      </c>
      <c r="G89" s="93">
        <f t="shared" ref="G89:J89" si="55">IF(G88="",G87,G88)*G82</f>
        <v>0</v>
      </c>
      <c r="H89" s="93">
        <f t="shared" si="55"/>
        <v>0</v>
      </c>
      <c r="I89" s="93">
        <f t="shared" si="55"/>
        <v>0</v>
      </c>
      <c r="J89" s="93">
        <f t="shared" si="55"/>
        <v>0</v>
      </c>
      <c r="K89" s="93">
        <f t="shared" ref="K89:P89" si="56">IF(K88="",K87,K88)*K82</f>
        <v>0</v>
      </c>
      <c r="L89" s="93">
        <f t="shared" si="56"/>
        <v>0</v>
      </c>
      <c r="M89" s="93">
        <f t="shared" si="56"/>
        <v>0</v>
      </c>
      <c r="N89" s="93">
        <f t="shared" si="56"/>
        <v>0</v>
      </c>
      <c r="O89" s="93">
        <f t="shared" si="56"/>
        <v>0</v>
      </c>
      <c r="P89" s="93">
        <f t="shared" si="56"/>
        <v>0</v>
      </c>
      <c r="Q89" s="397"/>
      <c r="R89" s="82"/>
    </row>
    <row r="90" spans="2:18" ht="22.5" hidden="1">
      <c r="B90" s="94" t="s">
        <v>533</v>
      </c>
      <c r="C90" s="52" t="s">
        <v>775</v>
      </c>
      <c r="D90" s="60"/>
      <c r="E90" s="121" t="s">
        <v>776</v>
      </c>
      <c r="F90" s="28" t="s">
        <v>211</v>
      </c>
      <c r="G90" s="464" t="s">
        <v>877</v>
      </c>
      <c r="H90" s="464" t="s">
        <v>877</v>
      </c>
      <c r="I90" s="464" t="s">
        <v>877</v>
      </c>
      <c r="J90" s="464" t="s">
        <v>877</v>
      </c>
      <c r="K90" s="464" t="s">
        <v>877</v>
      </c>
      <c r="L90" s="464" t="s">
        <v>877</v>
      </c>
      <c r="M90" s="464" t="s">
        <v>877</v>
      </c>
      <c r="N90" s="464" t="s">
        <v>877</v>
      </c>
      <c r="O90" s="464" t="s">
        <v>877</v>
      </c>
      <c r="P90" s="464" t="s">
        <v>877</v>
      </c>
      <c r="Q90" s="397"/>
      <c r="R90" s="82"/>
    </row>
    <row r="91" spans="2:18" hidden="1">
      <c r="B91" s="94" t="s">
        <v>533</v>
      </c>
      <c r="C91" s="52"/>
      <c r="D91" s="60"/>
      <c r="E91" s="49" t="s">
        <v>878</v>
      </c>
      <c r="F91" s="28" t="s">
        <v>329</v>
      </c>
      <c r="G91" s="54">
        <f t="shared" ref="G91:J91" si="57">IF(G79=0,0,_xlfn.XLOOKUP(G90,Dozer_push_names_CS,Dozer_push_rates_CS))</f>
        <v>0.82325581395348835</v>
      </c>
      <c r="H91" s="54">
        <f t="shared" si="57"/>
        <v>0.82325581395348835</v>
      </c>
      <c r="I91" s="54">
        <f t="shared" si="57"/>
        <v>0.82325581395348835</v>
      </c>
      <c r="J91" s="54">
        <f t="shared" si="57"/>
        <v>0</v>
      </c>
      <c r="K91" s="54">
        <f t="shared" ref="K91:P91" si="58">IF(K79=0,0,_xlfn.XLOOKUP(K90,Dozer_push_names_CS,Dozer_push_rates_CS))</f>
        <v>0</v>
      </c>
      <c r="L91" s="54">
        <f t="shared" si="58"/>
        <v>0.82325581395348835</v>
      </c>
      <c r="M91" s="54">
        <f t="shared" si="58"/>
        <v>0.82325581395348835</v>
      </c>
      <c r="N91" s="54">
        <f t="shared" si="58"/>
        <v>0.82325581395348835</v>
      </c>
      <c r="O91" s="54">
        <f t="shared" si="58"/>
        <v>0.82325581395348835</v>
      </c>
      <c r="P91" s="54">
        <f t="shared" si="58"/>
        <v>0.82325581395348835</v>
      </c>
      <c r="Q91" s="397"/>
      <c r="R91" s="44"/>
    </row>
    <row r="92" spans="2:18" hidden="1">
      <c r="B92" s="94" t="s">
        <v>533</v>
      </c>
      <c r="C92" s="52"/>
      <c r="D92" s="60"/>
      <c r="E92" s="49" t="s">
        <v>229</v>
      </c>
      <c r="F92" s="28" t="s">
        <v>329</v>
      </c>
      <c r="G92" s="537"/>
      <c r="H92" s="537"/>
      <c r="I92" s="537"/>
      <c r="J92" s="537"/>
      <c r="K92" s="537"/>
      <c r="L92" s="537"/>
      <c r="M92" s="537"/>
      <c r="N92" s="537"/>
      <c r="O92" s="537"/>
      <c r="P92" s="537"/>
      <c r="Q92" s="397"/>
      <c r="R92" s="82"/>
    </row>
    <row r="93" spans="2:18" hidden="1">
      <c r="B93" s="94" t="s">
        <v>533</v>
      </c>
      <c r="C93" s="56"/>
      <c r="D93" s="45"/>
      <c r="E93" s="49" t="s">
        <v>146</v>
      </c>
      <c r="F93" s="28" t="s">
        <v>207</v>
      </c>
      <c r="G93" s="140">
        <f>IF(G92="",G91,G92)*G82</f>
        <v>0</v>
      </c>
      <c r="H93" s="140">
        <f t="shared" ref="H93:P93" si="59">IF(H92="",H91,H92)*H82</f>
        <v>0</v>
      </c>
      <c r="I93" s="140">
        <f t="shared" si="59"/>
        <v>0</v>
      </c>
      <c r="J93" s="140">
        <f t="shared" si="59"/>
        <v>0</v>
      </c>
      <c r="K93" s="140">
        <f t="shared" si="59"/>
        <v>0</v>
      </c>
      <c r="L93" s="140">
        <f t="shared" si="59"/>
        <v>0</v>
      </c>
      <c r="M93" s="140">
        <f t="shared" si="59"/>
        <v>0</v>
      </c>
      <c r="N93" s="140">
        <f t="shared" si="59"/>
        <v>0</v>
      </c>
      <c r="O93" s="140">
        <f t="shared" si="59"/>
        <v>0</v>
      </c>
      <c r="P93" s="140">
        <f t="shared" si="59"/>
        <v>0</v>
      </c>
      <c r="Q93" s="397"/>
      <c r="R93" s="82"/>
    </row>
    <row r="94" spans="2:18" hidden="1">
      <c r="B94" s="94" t="s">
        <v>533</v>
      </c>
      <c r="C94" s="158"/>
      <c r="D94" s="66"/>
      <c r="E94" s="67" t="str">
        <f>C76</f>
        <v xml:space="preserve">Construct working layer </v>
      </c>
      <c r="F94" s="72"/>
      <c r="G94" s="83">
        <f t="shared" ref="G94:J94" si="60">G85+G89+G93</f>
        <v>0</v>
      </c>
      <c r="H94" s="83">
        <f t="shared" si="60"/>
        <v>0</v>
      </c>
      <c r="I94" s="83">
        <f t="shared" si="60"/>
        <v>0</v>
      </c>
      <c r="J94" s="83">
        <f t="shared" si="60"/>
        <v>0</v>
      </c>
      <c r="K94" s="83">
        <f t="shared" ref="K94:P94" si="61">K85+K89+K93</f>
        <v>0</v>
      </c>
      <c r="L94" s="83">
        <f t="shared" si="61"/>
        <v>0</v>
      </c>
      <c r="M94" s="83">
        <f t="shared" si="61"/>
        <v>0</v>
      </c>
      <c r="N94" s="83">
        <f t="shared" si="61"/>
        <v>0</v>
      </c>
      <c r="O94" s="83">
        <f t="shared" si="61"/>
        <v>0</v>
      </c>
      <c r="P94" s="83">
        <f t="shared" si="61"/>
        <v>0</v>
      </c>
      <c r="Q94" s="397"/>
      <c r="R94" s="82"/>
    </row>
    <row r="95" spans="2:18" hidden="1">
      <c r="B95" s="94" t="s">
        <v>533</v>
      </c>
      <c r="C95" s="159" t="s">
        <v>779</v>
      </c>
      <c r="D95" s="59" t="s">
        <v>780</v>
      </c>
      <c r="E95" s="49" t="s">
        <v>623</v>
      </c>
      <c r="F95" s="28" t="s">
        <v>299</v>
      </c>
      <c r="G95" s="70">
        <f t="shared" ref="G95:P95" si="62">G$39</f>
        <v>0</v>
      </c>
      <c r="H95" s="70">
        <f t="shared" si="62"/>
        <v>0</v>
      </c>
      <c r="I95" s="70">
        <f t="shared" si="62"/>
        <v>0</v>
      </c>
      <c r="J95" s="70">
        <f t="shared" si="62"/>
        <v>0</v>
      </c>
      <c r="K95" s="70">
        <f t="shared" si="62"/>
        <v>0</v>
      </c>
      <c r="L95" s="70">
        <f t="shared" si="62"/>
        <v>0</v>
      </c>
      <c r="M95" s="70">
        <f t="shared" si="62"/>
        <v>0</v>
      </c>
      <c r="N95" s="70">
        <f t="shared" si="62"/>
        <v>0</v>
      </c>
      <c r="O95" s="70">
        <f t="shared" si="62"/>
        <v>0</v>
      </c>
      <c r="P95" s="70">
        <f t="shared" si="62"/>
        <v>0</v>
      </c>
      <c r="Q95" s="397"/>
      <c r="R95" s="44"/>
    </row>
    <row r="96" spans="2:18" hidden="1">
      <c r="B96" s="94" t="s">
        <v>533</v>
      </c>
      <c r="C96" s="52"/>
      <c r="D96" s="60"/>
      <c r="E96" s="49" t="s">
        <v>624</v>
      </c>
      <c r="F96" s="28" t="s">
        <v>299</v>
      </c>
      <c r="G96" s="531"/>
      <c r="H96" s="531"/>
      <c r="I96" s="531"/>
      <c r="J96" s="531"/>
      <c r="K96" s="531"/>
      <c r="L96" s="531"/>
      <c r="M96" s="531"/>
      <c r="N96" s="531"/>
      <c r="O96" s="531"/>
      <c r="P96" s="531"/>
      <c r="Q96" s="397"/>
      <c r="R96" s="82"/>
    </row>
    <row r="97" spans="2:18" hidden="1">
      <c r="B97" s="94" t="s">
        <v>533</v>
      </c>
      <c r="C97" s="52"/>
      <c r="D97" s="60"/>
      <c r="E97" s="49" t="s">
        <v>625</v>
      </c>
      <c r="F97" s="28" t="s">
        <v>299</v>
      </c>
      <c r="G97" s="70">
        <f t="shared" ref="G97:J97" si="63">IF(G96="",G95,G96)</f>
        <v>0</v>
      </c>
      <c r="H97" s="70">
        <f t="shared" si="63"/>
        <v>0</v>
      </c>
      <c r="I97" s="70">
        <f t="shared" si="63"/>
        <v>0</v>
      </c>
      <c r="J97" s="70">
        <f t="shared" si="63"/>
        <v>0</v>
      </c>
      <c r="K97" s="70">
        <f t="shared" ref="K97:P97" si="64">IF(K96="",K95,K96)</f>
        <v>0</v>
      </c>
      <c r="L97" s="70">
        <f t="shared" si="64"/>
        <v>0</v>
      </c>
      <c r="M97" s="70">
        <f t="shared" si="64"/>
        <v>0</v>
      </c>
      <c r="N97" s="70">
        <f t="shared" si="64"/>
        <v>0</v>
      </c>
      <c r="O97" s="70">
        <f t="shared" si="64"/>
        <v>0</v>
      </c>
      <c r="P97" s="70">
        <f t="shared" si="64"/>
        <v>0</v>
      </c>
      <c r="Q97" s="397"/>
      <c r="R97" s="44"/>
    </row>
    <row r="98" spans="2:18" hidden="1">
      <c r="B98" s="94" t="s">
        <v>533</v>
      </c>
      <c r="C98" s="52"/>
      <c r="D98" s="60"/>
      <c r="E98" s="47" t="s">
        <v>759</v>
      </c>
      <c r="F98" s="28" t="s">
        <v>211</v>
      </c>
      <c r="G98" s="70">
        <f>_xlfn.XLOOKUP(G$37,'Assumptions - Capping'!$D$4:$H$4,'Assumptions - Capping'!$D$9:$H$9)</f>
        <v>0</v>
      </c>
      <c r="H98" s="70">
        <f>_xlfn.XLOOKUP(H$37,'Assumptions - Capping'!$D$4:$H$4,'Assumptions - Capping'!$D$9:$H$9)</f>
        <v>0.6</v>
      </c>
      <c r="I98" s="70">
        <f>_xlfn.XLOOKUP(I$37,'Assumptions - Capping'!$D$4:$H$4,'Assumptions - Capping'!$D$9:$H$9)</f>
        <v>0.3</v>
      </c>
      <c r="J98" s="70">
        <f>_xlfn.XLOOKUP(J$37,'Assumptions - Capping'!$D$4:$H$4,'Assumptions - Capping'!$D$9:$H$9)</f>
        <v>0</v>
      </c>
      <c r="K98" s="70">
        <f>_xlfn.XLOOKUP(K$37,'Assumptions - Capping'!$D$4:$H$4,'Assumptions - Capping'!$D$9:$H$9)</f>
        <v>0</v>
      </c>
      <c r="L98" s="70">
        <f>_xlfn.XLOOKUP(L$37,'Assumptions - Capping'!$D$4:$H$4,'Assumptions - Capping'!$D$9:$H$9)</f>
        <v>0.6</v>
      </c>
      <c r="M98" s="70">
        <f>_xlfn.XLOOKUP(M$37,'Assumptions - Capping'!$D$4:$H$4,'Assumptions - Capping'!$D$9:$H$9)</f>
        <v>0.6</v>
      </c>
      <c r="N98" s="70">
        <f>_xlfn.XLOOKUP(N$37,'Assumptions - Capping'!$D$4:$H$4,'Assumptions - Capping'!$D$9:$H$9)</f>
        <v>0.6</v>
      </c>
      <c r="O98" s="70">
        <f>_xlfn.XLOOKUP(O$37,'Assumptions - Capping'!$D$4:$H$4,'Assumptions - Capping'!$D$9:$H$9)</f>
        <v>0.6</v>
      </c>
      <c r="P98" s="70">
        <f>_xlfn.XLOOKUP(P$37,'Assumptions - Capping'!$D$4:$H$4,'Assumptions - Capping'!$D$9:$H$9)</f>
        <v>0.6</v>
      </c>
      <c r="Q98" s="397"/>
      <c r="R98" s="44"/>
    </row>
    <row r="99" spans="2:18" hidden="1">
      <c r="B99" s="94" t="s">
        <v>533</v>
      </c>
      <c r="C99" s="52"/>
      <c r="D99" s="60"/>
      <c r="E99" s="47" t="s">
        <v>760</v>
      </c>
      <c r="F99" s="28" t="s">
        <v>211</v>
      </c>
      <c r="G99" s="411"/>
      <c r="H99" s="411"/>
      <c r="I99" s="411"/>
      <c r="J99" s="411"/>
      <c r="K99" s="411"/>
      <c r="L99" s="411"/>
      <c r="M99" s="411"/>
      <c r="N99" s="411"/>
      <c r="O99" s="411"/>
      <c r="P99" s="411"/>
      <c r="Q99" s="397"/>
      <c r="R99" s="44" t="s">
        <v>864</v>
      </c>
    </row>
    <row r="100" spans="2:18" hidden="1">
      <c r="B100" s="94" t="s">
        <v>533</v>
      </c>
      <c r="C100" s="52"/>
      <c r="D100" s="60"/>
      <c r="E100" s="47" t="s">
        <v>761</v>
      </c>
      <c r="F100" s="28" t="s">
        <v>211</v>
      </c>
      <c r="G100" s="70">
        <f>IF(G99="",G98,G99)</f>
        <v>0</v>
      </c>
      <c r="H100" s="70">
        <f t="shared" ref="H100:P100" si="65">IF(H99="",H98,H99)</f>
        <v>0.6</v>
      </c>
      <c r="I100" s="70">
        <f t="shared" si="65"/>
        <v>0.3</v>
      </c>
      <c r="J100" s="70">
        <f t="shared" si="65"/>
        <v>0</v>
      </c>
      <c r="K100" s="70">
        <f t="shared" si="65"/>
        <v>0</v>
      </c>
      <c r="L100" s="70">
        <f t="shared" si="65"/>
        <v>0.6</v>
      </c>
      <c r="M100" s="70">
        <f t="shared" si="65"/>
        <v>0.6</v>
      </c>
      <c r="N100" s="70">
        <f t="shared" si="65"/>
        <v>0.6</v>
      </c>
      <c r="O100" s="70">
        <f t="shared" si="65"/>
        <v>0.6</v>
      </c>
      <c r="P100" s="70">
        <f t="shared" si="65"/>
        <v>0.6</v>
      </c>
      <c r="Q100" s="397"/>
      <c r="R100" s="44" t="str">
        <f>IF(OR(G100&lt;G98,H100&lt;H98,I100&lt;I98,J100&lt;J98,K100&lt;K98,L100&lt;L98,M100&lt;M98,N100&lt;N98,O100&lt;O98,P100&lt;P98),"Add justification for lower thickness.","If user enters less than default they must provide justification.")</f>
        <v>If user enters less than default they must provide justification.</v>
      </c>
    </row>
    <row r="101" spans="2:18" hidden="1">
      <c r="B101" s="94" t="s">
        <v>533</v>
      </c>
      <c r="C101" s="56"/>
      <c r="D101" s="60"/>
      <c r="E101" s="49" t="s">
        <v>307</v>
      </c>
      <c r="F101" s="28" t="s">
        <v>219</v>
      </c>
      <c r="G101" s="58">
        <f t="shared" ref="G101:P101" si="66">G97*Conv_sqm_ha*G100</f>
        <v>0</v>
      </c>
      <c r="H101" s="58">
        <f t="shared" si="66"/>
        <v>0</v>
      </c>
      <c r="I101" s="58">
        <f t="shared" si="66"/>
        <v>0</v>
      </c>
      <c r="J101" s="58">
        <f t="shared" si="66"/>
        <v>0</v>
      </c>
      <c r="K101" s="58">
        <f t="shared" si="66"/>
        <v>0</v>
      </c>
      <c r="L101" s="58">
        <f t="shared" si="66"/>
        <v>0</v>
      </c>
      <c r="M101" s="58">
        <f t="shared" si="66"/>
        <v>0</v>
      </c>
      <c r="N101" s="58">
        <f t="shared" si="66"/>
        <v>0</v>
      </c>
      <c r="O101" s="58">
        <f t="shared" si="66"/>
        <v>0</v>
      </c>
      <c r="P101" s="58">
        <f t="shared" si="66"/>
        <v>0</v>
      </c>
      <c r="Q101" s="397"/>
      <c r="R101" s="44"/>
    </row>
    <row r="102" spans="2:18" hidden="1">
      <c r="B102" s="94" t="s">
        <v>533</v>
      </c>
      <c r="C102" s="50" t="s">
        <v>781</v>
      </c>
      <c r="D102" s="60"/>
      <c r="E102" s="49" t="s">
        <v>771</v>
      </c>
      <c r="F102" s="28" t="s">
        <v>241</v>
      </c>
      <c r="G102" s="54">
        <f>IF(G100=0,0,'Cost Schedule'!$D$440)</f>
        <v>0</v>
      </c>
      <c r="H102" s="54">
        <f>IF(H100=0,0,'Cost Schedule'!$D$440)</f>
        <v>0.78645559044121383</v>
      </c>
      <c r="I102" s="54">
        <f>IF(I100=0,0,'Cost Schedule'!$D$440)</f>
        <v>0.78645559044121383</v>
      </c>
      <c r="J102" s="54">
        <f>IF(J100=0,0,'Cost Schedule'!$D$440)</f>
        <v>0</v>
      </c>
      <c r="K102" s="54">
        <f>IF(K100=0,0,'Cost Schedule'!$D$440)</f>
        <v>0</v>
      </c>
      <c r="L102" s="54">
        <f>IF(L100=0,0,'Cost Schedule'!$D$440)</f>
        <v>0.78645559044121383</v>
      </c>
      <c r="M102" s="54">
        <f>IF(M100=0,0,'Cost Schedule'!$D$440)</f>
        <v>0.78645559044121383</v>
      </c>
      <c r="N102" s="54">
        <f>IF(N100=0,0,'Cost Schedule'!$D$440)</f>
        <v>0.78645559044121383</v>
      </c>
      <c r="O102" s="54">
        <f>IF(O100=0,0,'Cost Schedule'!$D$440)</f>
        <v>0.78645559044121383</v>
      </c>
      <c r="P102" s="54">
        <f>IF(P100=0,0,'Cost Schedule'!$D$440)</f>
        <v>0.78645559044121383</v>
      </c>
      <c r="Q102" s="397"/>
      <c r="R102" s="44"/>
    </row>
    <row r="103" spans="2:18" hidden="1">
      <c r="B103" s="94" t="s">
        <v>533</v>
      </c>
      <c r="C103" s="52"/>
      <c r="D103" s="60"/>
      <c r="E103" s="49" t="s">
        <v>772</v>
      </c>
      <c r="F103" s="28" t="s">
        <v>241</v>
      </c>
      <c r="G103" s="537"/>
      <c r="H103" s="537"/>
      <c r="I103" s="537"/>
      <c r="J103" s="537"/>
      <c r="K103" s="537"/>
      <c r="L103" s="537"/>
      <c r="M103" s="537"/>
      <c r="N103" s="537"/>
      <c r="O103" s="537"/>
      <c r="P103" s="537"/>
      <c r="Q103" s="397"/>
      <c r="R103" s="82"/>
    </row>
    <row r="104" spans="2:18" hidden="1">
      <c r="B104" s="94" t="s">
        <v>533</v>
      </c>
      <c r="C104" s="56"/>
      <c r="D104" s="60"/>
      <c r="E104" s="49" t="s">
        <v>782</v>
      </c>
      <c r="F104" s="28" t="s">
        <v>207</v>
      </c>
      <c r="G104" s="123">
        <f t="shared" ref="G104:J104" si="67">IF(G103="",G102,G103)*G101</f>
        <v>0</v>
      </c>
      <c r="H104" s="123">
        <f t="shared" si="67"/>
        <v>0</v>
      </c>
      <c r="I104" s="123">
        <f t="shared" si="67"/>
        <v>0</v>
      </c>
      <c r="J104" s="123">
        <f t="shared" si="67"/>
        <v>0</v>
      </c>
      <c r="K104" s="123">
        <f t="shared" ref="K104:P104" si="68">IF(K103="",K102,K103)*K101</f>
        <v>0</v>
      </c>
      <c r="L104" s="123">
        <f t="shared" si="68"/>
        <v>0</v>
      </c>
      <c r="M104" s="123">
        <f t="shared" si="68"/>
        <v>0</v>
      </c>
      <c r="N104" s="123">
        <f t="shared" si="68"/>
        <v>0</v>
      </c>
      <c r="O104" s="123">
        <f t="shared" si="68"/>
        <v>0</v>
      </c>
      <c r="P104" s="123">
        <f t="shared" si="68"/>
        <v>0</v>
      </c>
      <c r="Q104" s="397"/>
      <c r="R104" s="44"/>
    </row>
    <row r="105" spans="2:18" hidden="1">
      <c r="B105" s="94" t="s">
        <v>533</v>
      </c>
      <c r="C105" s="50" t="s">
        <v>783</v>
      </c>
      <c r="D105" s="60"/>
      <c r="E105" s="49" t="s">
        <v>227</v>
      </c>
      <c r="F105" s="28" t="s">
        <v>219</v>
      </c>
      <c r="G105" s="54">
        <f>'Cost Schedule'!$D$47</f>
        <v>5.2445056723647641</v>
      </c>
      <c r="H105" s="54">
        <f>'Cost Schedule'!$D$47</f>
        <v>5.2445056723647641</v>
      </c>
      <c r="I105" s="54">
        <f>'Cost Schedule'!$D$47</f>
        <v>5.2445056723647641</v>
      </c>
      <c r="J105" s="54">
        <f>'Cost Schedule'!$D$47</f>
        <v>5.2445056723647641</v>
      </c>
      <c r="K105" s="54">
        <f>'Cost Schedule'!$D$47</f>
        <v>5.2445056723647641</v>
      </c>
      <c r="L105" s="54">
        <f>'Cost Schedule'!$D$47</f>
        <v>5.2445056723647641</v>
      </c>
      <c r="M105" s="54">
        <f>'Cost Schedule'!$D$47</f>
        <v>5.2445056723647641</v>
      </c>
      <c r="N105" s="54">
        <f>'Cost Schedule'!$D$47</f>
        <v>5.2445056723647641</v>
      </c>
      <c r="O105" s="54">
        <f>'Cost Schedule'!$D$47</f>
        <v>5.2445056723647641</v>
      </c>
      <c r="P105" s="54">
        <f>'Cost Schedule'!$D$47</f>
        <v>5.2445056723647641</v>
      </c>
      <c r="Q105" s="397"/>
      <c r="R105" s="44"/>
    </row>
    <row r="106" spans="2:18" hidden="1">
      <c r="B106" s="94" t="s">
        <v>533</v>
      </c>
      <c r="C106" s="52"/>
      <c r="D106" s="60"/>
      <c r="E106" s="49" t="s">
        <v>229</v>
      </c>
      <c r="F106" s="28" t="s">
        <v>241</v>
      </c>
      <c r="G106" s="537"/>
      <c r="H106" s="537"/>
      <c r="I106" s="537"/>
      <c r="J106" s="537"/>
      <c r="K106" s="537"/>
      <c r="L106" s="537"/>
      <c r="M106" s="537"/>
      <c r="N106" s="537"/>
      <c r="O106" s="537"/>
      <c r="P106" s="537"/>
      <c r="Q106" s="397"/>
      <c r="R106" s="82"/>
    </row>
    <row r="107" spans="2:18" hidden="1">
      <c r="B107" s="94" t="s">
        <v>533</v>
      </c>
      <c r="C107" s="56"/>
      <c r="D107" s="60"/>
      <c r="E107" s="49" t="s">
        <v>146</v>
      </c>
      <c r="F107" s="28" t="s">
        <v>207</v>
      </c>
      <c r="G107" s="117">
        <f t="shared" ref="G107:J107" si="69">IF(G100=0,0,IF(G106="",G105,G106)*G101)</f>
        <v>0</v>
      </c>
      <c r="H107" s="117">
        <f t="shared" si="69"/>
        <v>0</v>
      </c>
      <c r="I107" s="117">
        <f t="shared" si="69"/>
        <v>0</v>
      </c>
      <c r="J107" s="117">
        <f t="shared" si="69"/>
        <v>0</v>
      </c>
      <c r="K107" s="117">
        <f t="shared" ref="K107" si="70">IF(K100=0,0,IF(K106="",K105,K106)*K101)</f>
        <v>0</v>
      </c>
      <c r="L107" s="117">
        <f t="shared" ref="L107" si="71">IF(L100=0,0,IF(L106="",L105,L106)*L101)</f>
        <v>0</v>
      </c>
      <c r="M107" s="117">
        <f t="shared" ref="M107" si="72">IF(M100=0,0,IF(M106="",M105,M106)*M101)</f>
        <v>0</v>
      </c>
      <c r="N107" s="117">
        <f t="shared" ref="N107:O107" si="73">IF(N100=0,0,IF(N106="",N105,N106)*N101)</f>
        <v>0</v>
      </c>
      <c r="O107" s="117">
        <f t="shared" si="73"/>
        <v>0</v>
      </c>
      <c r="P107" s="117">
        <f t="shared" ref="P107" si="74">IF(P100=0,0,IF(P106="",P105,P106)*P101)</f>
        <v>0</v>
      </c>
      <c r="Q107" s="397"/>
      <c r="R107" s="82"/>
    </row>
    <row r="108" spans="2:18" ht="33.75" hidden="1">
      <c r="B108" s="94" t="s">
        <v>533</v>
      </c>
      <c r="C108" s="52" t="s">
        <v>557</v>
      </c>
      <c r="D108" s="60"/>
      <c r="E108" s="82" t="s">
        <v>784</v>
      </c>
      <c r="F108" s="28" t="s">
        <v>123</v>
      </c>
      <c r="G108" s="461" t="s">
        <v>876</v>
      </c>
      <c r="H108" s="461" t="s">
        <v>876</v>
      </c>
      <c r="I108" s="461" t="s">
        <v>876</v>
      </c>
      <c r="J108" s="461" t="s">
        <v>876</v>
      </c>
      <c r="K108" s="461" t="s">
        <v>876</v>
      </c>
      <c r="L108" s="461" t="s">
        <v>876</v>
      </c>
      <c r="M108" s="461" t="s">
        <v>876</v>
      </c>
      <c r="N108" s="461" t="s">
        <v>876</v>
      </c>
      <c r="O108" s="461" t="s">
        <v>876</v>
      </c>
      <c r="P108" s="461" t="s">
        <v>876</v>
      </c>
      <c r="Q108" s="397"/>
      <c r="R108" s="82"/>
    </row>
    <row r="109" spans="2:18" hidden="1">
      <c r="B109" s="94" t="s">
        <v>533</v>
      </c>
      <c r="C109" s="52"/>
      <c r="D109" s="60"/>
      <c r="E109" s="49" t="s">
        <v>227</v>
      </c>
      <c r="F109" s="28" t="s">
        <v>219</v>
      </c>
      <c r="G109" s="54">
        <f t="shared" ref="G109:J109" si="75">IF(G100=0,0,_xlfn.XLOOKUP(G108,Load_haul_fill_names_CS,Load_haul_fill_rates_CS))</f>
        <v>0</v>
      </c>
      <c r="H109" s="54">
        <f t="shared" si="75"/>
        <v>9.4868462704768426</v>
      </c>
      <c r="I109" s="54">
        <f t="shared" si="75"/>
        <v>9.4868462704768426</v>
      </c>
      <c r="J109" s="54">
        <f t="shared" si="75"/>
        <v>0</v>
      </c>
      <c r="K109" s="54">
        <f t="shared" ref="K109:P109" si="76">IF(K100=0,0,_xlfn.XLOOKUP(K108,Load_haul_fill_names_CS,Load_haul_fill_rates_CS))</f>
        <v>0</v>
      </c>
      <c r="L109" s="54">
        <f t="shared" si="76"/>
        <v>9.4868462704768426</v>
      </c>
      <c r="M109" s="54">
        <f t="shared" si="76"/>
        <v>9.4868462704768426</v>
      </c>
      <c r="N109" s="54">
        <f t="shared" si="76"/>
        <v>9.4868462704768426</v>
      </c>
      <c r="O109" s="54">
        <f t="shared" si="76"/>
        <v>9.4868462704768426</v>
      </c>
      <c r="P109" s="54">
        <f t="shared" si="76"/>
        <v>9.4868462704768426</v>
      </c>
      <c r="Q109" s="397"/>
      <c r="R109" s="44"/>
    </row>
    <row r="110" spans="2:18" hidden="1">
      <c r="B110" s="94" t="s">
        <v>533</v>
      </c>
      <c r="C110" s="52"/>
      <c r="D110" s="60"/>
      <c r="E110" s="49" t="s">
        <v>229</v>
      </c>
      <c r="F110" s="28" t="s">
        <v>241</v>
      </c>
      <c r="G110" s="537"/>
      <c r="H110" s="537"/>
      <c r="I110" s="537"/>
      <c r="J110" s="537"/>
      <c r="K110" s="537"/>
      <c r="L110" s="537"/>
      <c r="M110" s="537"/>
      <c r="N110" s="537"/>
      <c r="O110" s="537"/>
      <c r="P110" s="537"/>
      <c r="Q110" s="397"/>
      <c r="R110" s="82"/>
    </row>
    <row r="111" spans="2:18" hidden="1">
      <c r="B111" s="94" t="s">
        <v>533</v>
      </c>
      <c r="C111" s="56"/>
      <c r="D111" s="60"/>
      <c r="E111" s="49" t="s">
        <v>146</v>
      </c>
      <c r="F111" s="28" t="s">
        <v>207</v>
      </c>
      <c r="G111" s="98">
        <f t="shared" ref="G111:J111" si="77">IF(G110="",G109,G110)*G101</f>
        <v>0</v>
      </c>
      <c r="H111" s="98">
        <f t="shared" si="77"/>
        <v>0</v>
      </c>
      <c r="I111" s="98">
        <f t="shared" si="77"/>
        <v>0</v>
      </c>
      <c r="J111" s="98">
        <f t="shared" si="77"/>
        <v>0</v>
      </c>
      <c r="K111" s="98">
        <f t="shared" ref="K111:P111" si="78">IF(K110="",K109,K110)*K101</f>
        <v>0</v>
      </c>
      <c r="L111" s="98">
        <f t="shared" si="78"/>
        <v>0</v>
      </c>
      <c r="M111" s="98">
        <f t="shared" si="78"/>
        <v>0</v>
      </c>
      <c r="N111" s="98">
        <f t="shared" si="78"/>
        <v>0</v>
      </c>
      <c r="O111" s="98">
        <f t="shared" si="78"/>
        <v>0</v>
      </c>
      <c r="P111" s="98">
        <f t="shared" si="78"/>
        <v>0</v>
      </c>
      <c r="Q111" s="397"/>
      <c r="R111" s="82"/>
    </row>
    <row r="112" spans="2:18" hidden="1">
      <c r="B112" s="94" t="s">
        <v>533</v>
      </c>
      <c r="C112" s="50" t="s">
        <v>785</v>
      </c>
      <c r="D112" s="60"/>
      <c r="E112" s="49" t="s">
        <v>227</v>
      </c>
      <c r="F112" s="28" t="s">
        <v>219</v>
      </c>
      <c r="G112" s="54">
        <f>IF(G100=0,0,'Cost Schedule'!$D$426)</f>
        <v>0</v>
      </c>
      <c r="H112" s="54">
        <f>IF(H100=0,0,'Cost Schedule'!$D$426)</f>
        <v>0.99788583509513729</v>
      </c>
      <c r="I112" s="54">
        <f>IF(I100=0,0,'Cost Schedule'!$D$426)</f>
        <v>0.99788583509513729</v>
      </c>
      <c r="J112" s="54">
        <f>IF(J100=0,0,'Cost Schedule'!$D$426)</f>
        <v>0</v>
      </c>
      <c r="K112" s="54">
        <f>IF(K100=0,0,'Cost Schedule'!$D$426)</f>
        <v>0</v>
      </c>
      <c r="L112" s="54">
        <f>IF(L100=0,0,'Cost Schedule'!$D$426)</f>
        <v>0.99788583509513729</v>
      </c>
      <c r="M112" s="54">
        <f>IF(M100=0,0,'Cost Schedule'!$D$426)</f>
        <v>0.99788583509513729</v>
      </c>
      <c r="N112" s="54">
        <f>IF(N100=0,0,'Cost Schedule'!$D$426)</f>
        <v>0.99788583509513729</v>
      </c>
      <c r="O112" s="54">
        <f>IF(O100=0,0,'Cost Schedule'!$D$426)</f>
        <v>0.99788583509513729</v>
      </c>
      <c r="P112" s="54">
        <f>IF(P100=0,0,'Cost Schedule'!$D$426)</f>
        <v>0.99788583509513729</v>
      </c>
      <c r="Q112" s="397"/>
      <c r="R112" s="44"/>
    </row>
    <row r="113" spans="2:18" hidden="1">
      <c r="B113" s="94" t="s">
        <v>533</v>
      </c>
      <c r="C113" s="52"/>
      <c r="D113" s="60"/>
      <c r="E113" s="49" t="s">
        <v>229</v>
      </c>
      <c r="F113" s="28" t="s">
        <v>241</v>
      </c>
      <c r="G113" s="537"/>
      <c r="H113" s="537"/>
      <c r="I113" s="537"/>
      <c r="J113" s="537"/>
      <c r="K113" s="537"/>
      <c r="L113" s="537"/>
      <c r="M113" s="537"/>
      <c r="N113" s="537"/>
      <c r="O113" s="537"/>
      <c r="P113" s="537"/>
      <c r="Q113" s="397"/>
      <c r="R113" s="82"/>
    </row>
    <row r="114" spans="2:18" hidden="1">
      <c r="B114" s="94" t="s">
        <v>533</v>
      </c>
      <c r="C114" s="56"/>
      <c r="D114" s="45"/>
      <c r="E114" s="49" t="s">
        <v>146</v>
      </c>
      <c r="F114" s="28" t="s">
        <v>207</v>
      </c>
      <c r="G114" s="117">
        <f t="shared" ref="G114:J114" si="79">IF(G113="",G112,G113)*G101</f>
        <v>0</v>
      </c>
      <c r="H114" s="117">
        <f t="shared" si="79"/>
        <v>0</v>
      </c>
      <c r="I114" s="117">
        <f t="shared" si="79"/>
        <v>0</v>
      </c>
      <c r="J114" s="117">
        <f t="shared" si="79"/>
        <v>0</v>
      </c>
      <c r="K114" s="117">
        <f t="shared" ref="K114:P114" si="80">IF(K113="",K112,K113)*K101</f>
        <v>0</v>
      </c>
      <c r="L114" s="117">
        <f t="shared" si="80"/>
        <v>0</v>
      </c>
      <c r="M114" s="117">
        <f t="shared" si="80"/>
        <v>0</v>
      </c>
      <c r="N114" s="117">
        <f t="shared" si="80"/>
        <v>0</v>
      </c>
      <c r="O114" s="117">
        <f t="shared" si="80"/>
        <v>0</v>
      </c>
      <c r="P114" s="117">
        <f t="shared" si="80"/>
        <v>0</v>
      </c>
      <c r="Q114" s="397"/>
      <c r="R114" s="82"/>
    </row>
    <row r="115" spans="2:18" hidden="1">
      <c r="B115" s="94" t="s">
        <v>533</v>
      </c>
      <c r="C115" s="158"/>
      <c r="D115" s="66"/>
      <c r="E115" s="67" t="str">
        <f>C95</f>
        <v>Construct capillary break</v>
      </c>
      <c r="F115" s="72"/>
      <c r="G115" s="83">
        <f t="shared" ref="G115:J115" si="81">G104+G107+G111+G114</f>
        <v>0</v>
      </c>
      <c r="H115" s="83">
        <f t="shared" si="81"/>
        <v>0</v>
      </c>
      <c r="I115" s="83">
        <f t="shared" si="81"/>
        <v>0</v>
      </c>
      <c r="J115" s="83">
        <f t="shared" si="81"/>
        <v>0</v>
      </c>
      <c r="K115" s="83">
        <f t="shared" ref="K115:P115" si="82">K104+K107+K111+K114</f>
        <v>0</v>
      </c>
      <c r="L115" s="83">
        <f t="shared" si="82"/>
        <v>0</v>
      </c>
      <c r="M115" s="83">
        <f t="shared" si="82"/>
        <v>0</v>
      </c>
      <c r="N115" s="83">
        <f t="shared" si="82"/>
        <v>0</v>
      </c>
      <c r="O115" s="83">
        <f t="shared" si="82"/>
        <v>0</v>
      </c>
      <c r="P115" s="83">
        <f t="shared" si="82"/>
        <v>0</v>
      </c>
      <c r="Q115" s="397"/>
      <c r="R115" s="82"/>
    </row>
    <row r="116" spans="2:18" hidden="1">
      <c r="B116" s="94" t="s">
        <v>533</v>
      </c>
      <c r="C116" s="187" t="s">
        <v>786</v>
      </c>
      <c r="D116" s="192" t="s">
        <v>787</v>
      </c>
      <c r="E116" s="49" t="s">
        <v>623</v>
      </c>
      <c r="F116" s="28" t="s">
        <v>299</v>
      </c>
      <c r="G116" s="70">
        <f t="shared" ref="G116:P116" si="83">G$39</f>
        <v>0</v>
      </c>
      <c r="H116" s="70">
        <f t="shared" si="83"/>
        <v>0</v>
      </c>
      <c r="I116" s="70">
        <f t="shared" si="83"/>
        <v>0</v>
      </c>
      <c r="J116" s="70">
        <f t="shared" si="83"/>
        <v>0</v>
      </c>
      <c r="K116" s="70">
        <f t="shared" si="83"/>
        <v>0</v>
      </c>
      <c r="L116" s="70">
        <f t="shared" si="83"/>
        <v>0</v>
      </c>
      <c r="M116" s="70">
        <f t="shared" si="83"/>
        <v>0</v>
      </c>
      <c r="N116" s="70">
        <f t="shared" si="83"/>
        <v>0</v>
      </c>
      <c r="O116" s="70">
        <f t="shared" si="83"/>
        <v>0</v>
      </c>
      <c r="P116" s="70">
        <f t="shared" si="83"/>
        <v>0</v>
      </c>
      <c r="Q116" s="397"/>
      <c r="R116" s="44"/>
    </row>
    <row r="117" spans="2:18" hidden="1">
      <c r="B117" s="94" t="s">
        <v>533</v>
      </c>
      <c r="C117" s="183"/>
      <c r="D117" s="194"/>
      <c r="E117" s="49" t="s">
        <v>624</v>
      </c>
      <c r="F117" s="28" t="s">
        <v>299</v>
      </c>
      <c r="G117" s="531"/>
      <c r="H117" s="531"/>
      <c r="I117" s="531"/>
      <c r="J117" s="531"/>
      <c r="K117" s="531"/>
      <c r="L117" s="531"/>
      <c r="M117" s="531"/>
      <c r="N117" s="531"/>
      <c r="O117" s="531"/>
      <c r="P117" s="531"/>
      <c r="Q117" s="397"/>
      <c r="R117" s="82"/>
    </row>
    <row r="118" spans="2:18" hidden="1">
      <c r="B118" s="94" t="s">
        <v>533</v>
      </c>
      <c r="C118" s="183"/>
      <c r="D118" s="194"/>
      <c r="E118" s="49" t="s">
        <v>625</v>
      </c>
      <c r="F118" s="28" t="s">
        <v>299</v>
      </c>
      <c r="G118" s="70">
        <f t="shared" ref="G118:J118" si="84">IF(G117="",G116,G117)</f>
        <v>0</v>
      </c>
      <c r="H118" s="70">
        <f t="shared" si="84"/>
        <v>0</v>
      </c>
      <c r="I118" s="70">
        <f t="shared" si="84"/>
        <v>0</v>
      </c>
      <c r="J118" s="70">
        <f t="shared" si="84"/>
        <v>0</v>
      </c>
      <c r="K118" s="70">
        <f t="shared" ref="K118:P118" si="85">IF(K117="",K116,K117)</f>
        <v>0</v>
      </c>
      <c r="L118" s="70">
        <f t="shared" si="85"/>
        <v>0</v>
      </c>
      <c r="M118" s="70">
        <f t="shared" si="85"/>
        <v>0</v>
      </c>
      <c r="N118" s="70">
        <f t="shared" si="85"/>
        <v>0</v>
      </c>
      <c r="O118" s="70">
        <f t="shared" si="85"/>
        <v>0</v>
      </c>
      <c r="P118" s="70">
        <f t="shared" si="85"/>
        <v>0</v>
      </c>
      <c r="Q118" s="397"/>
      <c r="R118" s="44"/>
    </row>
    <row r="119" spans="2:18" hidden="1">
      <c r="B119" s="94" t="s">
        <v>533</v>
      </c>
      <c r="C119" s="183"/>
      <c r="D119" s="194"/>
      <c r="E119" s="47" t="s">
        <v>759</v>
      </c>
      <c r="F119" s="28" t="s">
        <v>211</v>
      </c>
      <c r="G119" s="70">
        <f>_xlfn.XLOOKUP(G$37,'Assumptions - Capping'!$D$4:$H$4,'Assumptions - Capping'!$D$10:$H$10)</f>
        <v>1.5</v>
      </c>
      <c r="H119" s="70">
        <f>_xlfn.XLOOKUP(H$37,'Assumptions - Capping'!$D$4:$H$4,'Assumptions - Capping'!$D$10:$H$10)</f>
        <v>0.5</v>
      </c>
      <c r="I119" s="70">
        <f>_xlfn.XLOOKUP(I$37,'Assumptions - Capping'!$D$4:$H$4,'Assumptions - Capping'!$D$10:$H$10)</f>
        <v>0</v>
      </c>
      <c r="J119" s="70">
        <f>_xlfn.XLOOKUP(J$37,'Assumptions - Capping'!$D$4:$H$4,'Assumptions - Capping'!$D$10:$H$10)</f>
        <v>0</v>
      </c>
      <c r="K119" s="70">
        <f>_xlfn.XLOOKUP(K$37,'Assumptions - Capping'!$D$4:$H$4,'Assumptions - Capping'!$D$10:$H$10)</f>
        <v>0</v>
      </c>
      <c r="L119" s="70">
        <f>_xlfn.XLOOKUP(L$37,'Assumptions - Capping'!$D$4:$H$4,'Assumptions - Capping'!$D$10:$H$10)</f>
        <v>0.5</v>
      </c>
      <c r="M119" s="70">
        <f>_xlfn.XLOOKUP(M$37,'Assumptions - Capping'!$D$4:$H$4,'Assumptions - Capping'!$D$10:$H$10)</f>
        <v>0.5</v>
      </c>
      <c r="N119" s="70">
        <f>_xlfn.XLOOKUP(N$37,'Assumptions - Capping'!$D$4:$H$4,'Assumptions - Capping'!$D$10:$H$10)</f>
        <v>0.5</v>
      </c>
      <c r="O119" s="70">
        <f>_xlfn.XLOOKUP(O$37,'Assumptions - Capping'!$D$4:$H$4,'Assumptions - Capping'!$D$10:$H$10)</f>
        <v>0.5</v>
      </c>
      <c r="P119" s="70">
        <f>_xlfn.XLOOKUP(P$37,'Assumptions - Capping'!$D$4:$H$4,'Assumptions - Capping'!$D$10:$H$10)</f>
        <v>0.5</v>
      </c>
      <c r="Q119" s="397"/>
      <c r="R119" s="82"/>
    </row>
    <row r="120" spans="2:18" hidden="1">
      <c r="B120" s="94" t="s">
        <v>533</v>
      </c>
      <c r="C120" s="183"/>
      <c r="D120" s="194"/>
      <c r="E120" s="47" t="s">
        <v>760</v>
      </c>
      <c r="F120" s="28" t="s">
        <v>211</v>
      </c>
      <c r="G120" s="411"/>
      <c r="H120" s="411"/>
      <c r="I120" s="411"/>
      <c r="J120" s="411"/>
      <c r="K120" s="411"/>
      <c r="L120" s="411"/>
      <c r="M120" s="411"/>
      <c r="N120" s="411"/>
      <c r="O120" s="411"/>
      <c r="P120" s="411"/>
      <c r="Q120" s="397"/>
      <c r="R120" s="44" t="s">
        <v>864</v>
      </c>
    </row>
    <row r="121" spans="2:18" hidden="1">
      <c r="B121" s="94" t="s">
        <v>533</v>
      </c>
      <c r="C121" s="183"/>
      <c r="D121" s="194"/>
      <c r="E121" s="47" t="s">
        <v>761</v>
      </c>
      <c r="F121" s="28" t="s">
        <v>211</v>
      </c>
      <c r="G121" s="70">
        <f>IF(G120="",G119,G120)</f>
        <v>1.5</v>
      </c>
      <c r="H121" s="70">
        <f t="shared" ref="H121:P121" si="86">IF(H120="",H119,H120)</f>
        <v>0.5</v>
      </c>
      <c r="I121" s="70">
        <f t="shared" si="86"/>
        <v>0</v>
      </c>
      <c r="J121" s="70">
        <f t="shared" si="86"/>
        <v>0</v>
      </c>
      <c r="K121" s="70">
        <f t="shared" si="86"/>
        <v>0</v>
      </c>
      <c r="L121" s="70">
        <f t="shared" si="86"/>
        <v>0.5</v>
      </c>
      <c r="M121" s="70">
        <f t="shared" si="86"/>
        <v>0.5</v>
      </c>
      <c r="N121" s="70">
        <f t="shared" si="86"/>
        <v>0.5</v>
      </c>
      <c r="O121" s="70">
        <f t="shared" si="86"/>
        <v>0.5</v>
      </c>
      <c r="P121" s="70">
        <f t="shared" si="86"/>
        <v>0.5</v>
      </c>
      <c r="Q121" s="397"/>
      <c r="R121" s="44" t="str">
        <f>IF(OR(G121&lt;G119,H121&lt;H119,I121&lt;I119,J121&lt;J119,K121&lt;K119,L121&lt;L119,M121&lt;M119,N121&lt;N119,O121&lt;O119,P121&lt;P119),"Add justification for lower thickness.","If user enters less than default they must provide justification.")</f>
        <v>If user enters less than default they must provide justification.</v>
      </c>
    </row>
    <row r="122" spans="2:18" hidden="1">
      <c r="B122" s="94" t="s">
        <v>533</v>
      </c>
      <c r="C122" s="183"/>
      <c r="D122" s="194"/>
      <c r="E122" s="49" t="s">
        <v>307</v>
      </c>
      <c r="F122" s="28" t="s">
        <v>219</v>
      </c>
      <c r="G122" s="58">
        <f t="shared" ref="G122:P122" si="87">G118*Conv_sqm_ha*G121</f>
        <v>0</v>
      </c>
      <c r="H122" s="58">
        <f t="shared" si="87"/>
        <v>0</v>
      </c>
      <c r="I122" s="58">
        <f t="shared" si="87"/>
        <v>0</v>
      </c>
      <c r="J122" s="58">
        <f t="shared" si="87"/>
        <v>0</v>
      </c>
      <c r="K122" s="58">
        <f t="shared" si="87"/>
        <v>0</v>
      </c>
      <c r="L122" s="58">
        <f t="shared" si="87"/>
        <v>0</v>
      </c>
      <c r="M122" s="58">
        <f t="shared" si="87"/>
        <v>0</v>
      </c>
      <c r="N122" s="58">
        <f t="shared" si="87"/>
        <v>0</v>
      </c>
      <c r="O122" s="58">
        <f t="shared" si="87"/>
        <v>0</v>
      </c>
      <c r="P122" s="58">
        <f t="shared" si="87"/>
        <v>0</v>
      </c>
      <c r="Q122" s="397"/>
      <c r="R122" s="44"/>
    </row>
    <row r="123" spans="2:18" hidden="1">
      <c r="B123" s="94" t="s">
        <v>533</v>
      </c>
      <c r="C123" s="185"/>
      <c r="D123" s="194"/>
      <c r="E123" s="49" t="s">
        <v>322</v>
      </c>
      <c r="F123" s="28" t="s">
        <v>221</v>
      </c>
      <c r="G123" s="58">
        <f t="shared" ref="G123:J123" si="88">G122*Soil_density_clay</f>
        <v>0</v>
      </c>
      <c r="H123" s="58">
        <f t="shared" si="88"/>
        <v>0</v>
      </c>
      <c r="I123" s="58">
        <f t="shared" si="88"/>
        <v>0</v>
      </c>
      <c r="J123" s="58">
        <f t="shared" si="88"/>
        <v>0</v>
      </c>
      <c r="K123" s="58">
        <f t="shared" ref="K123:P123" si="89">K122*Soil_density_clay</f>
        <v>0</v>
      </c>
      <c r="L123" s="58">
        <f t="shared" si="89"/>
        <v>0</v>
      </c>
      <c r="M123" s="58">
        <f t="shared" si="89"/>
        <v>0</v>
      </c>
      <c r="N123" s="58">
        <f t="shared" si="89"/>
        <v>0</v>
      </c>
      <c r="O123" s="58">
        <f t="shared" si="89"/>
        <v>0</v>
      </c>
      <c r="P123" s="58">
        <f t="shared" si="89"/>
        <v>0</v>
      </c>
      <c r="Q123" s="397"/>
      <c r="R123" s="44"/>
    </row>
    <row r="124" spans="2:18" hidden="1">
      <c r="B124" s="94" t="s">
        <v>533</v>
      </c>
      <c r="C124" s="191" t="s">
        <v>788</v>
      </c>
      <c r="D124" s="196"/>
      <c r="E124" s="49" t="s">
        <v>789</v>
      </c>
      <c r="F124" s="28" t="s">
        <v>123</v>
      </c>
      <c r="G124" s="464" t="s">
        <v>791</v>
      </c>
      <c r="H124" s="464" t="s">
        <v>790</v>
      </c>
      <c r="I124" s="464" t="s">
        <v>791</v>
      </c>
      <c r="J124" s="464" t="s">
        <v>791</v>
      </c>
      <c r="K124" s="464" t="s">
        <v>791</v>
      </c>
      <c r="L124" s="464" t="s">
        <v>791</v>
      </c>
      <c r="M124" s="464" t="s">
        <v>791</v>
      </c>
      <c r="N124" s="464" t="s">
        <v>791</v>
      </c>
      <c r="O124" s="464" t="s">
        <v>791</v>
      </c>
      <c r="P124" s="464" t="s">
        <v>791</v>
      </c>
      <c r="Q124" s="397"/>
      <c r="R124" s="44"/>
    </row>
    <row r="125" spans="2:18" hidden="1">
      <c r="B125" s="94" t="s">
        <v>533</v>
      </c>
      <c r="C125" s="191" t="s">
        <v>792</v>
      </c>
      <c r="D125" s="192" t="s">
        <v>793</v>
      </c>
      <c r="E125" s="49" t="s">
        <v>794</v>
      </c>
      <c r="F125" s="28" t="s">
        <v>241</v>
      </c>
      <c r="G125" s="54">
        <f>IF(G119=0,0,IF(G124=Off_site,0,'Cost Schedule'!$D$426))</f>
        <v>0.99788583509513729</v>
      </c>
      <c r="H125" s="54">
        <f>IF(H119=0,0,IF(H124=Off_site,0,'Cost Schedule'!$D$426))</f>
        <v>0</v>
      </c>
      <c r="I125" s="54">
        <f>IF(I119=0,0,IF(I124=Off_site,0,'Cost Schedule'!$D$426))</f>
        <v>0</v>
      </c>
      <c r="J125" s="54">
        <f>IF(J119=0,0,IF(J124=Off_site,0,'Cost Schedule'!$D$426))</f>
        <v>0</v>
      </c>
      <c r="K125" s="54">
        <f>IF(K119=0,0,IF(K124=Off_site,0,'Cost Schedule'!$D$426))</f>
        <v>0</v>
      </c>
      <c r="L125" s="54">
        <f>IF(L119=0,0,IF(L124=Off_site,0,'Cost Schedule'!$D$426))</f>
        <v>0.99788583509513729</v>
      </c>
      <c r="M125" s="54">
        <f>IF(M119=0,0,IF(M124=Off_site,0,'Cost Schedule'!$D$426))</f>
        <v>0.99788583509513729</v>
      </c>
      <c r="N125" s="54">
        <f>IF(N119=0,0,IF(N124=Off_site,0,'Cost Schedule'!$D$426))</f>
        <v>0.99788583509513729</v>
      </c>
      <c r="O125" s="54">
        <f>IF(O119=0,0,IF(O124=Off_site,0,'Cost Schedule'!$D$426))</f>
        <v>0.99788583509513729</v>
      </c>
      <c r="P125" s="54">
        <f>IF(P119=0,0,IF(P124=Off_site,0,'Cost Schedule'!$D$426))</f>
        <v>0.99788583509513729</v>
      </c>
      <c r="Q125" s="397"/>
      <c r="R125" s="44"/>
    </row>
    <row r="126" spans="2:18" hidden="1">
      <c r="B126" s="94" t="s">
        <v>533</v>
      </c>
      <c r="C126" s="191"/>
      <c r="D126" s="194"/>
      <c r="E126" s="49" t="s">
        <v>795</v>
      </c>
      <c r="F126" s="28" t="s">
        <v>241</v>
      </c>
      <c r="G126" s="537"/>
      <c r="H126" s="537"/>
      <c r="I126" s="537"/>
      <c r="J126" s="537"/>
      <c r="K126" s="537"/>
      <c r="L126" s="537"/>
      <c r="M126" s="537"/>
      <c r="N126" s="537"/>
      <c r="O126" s="537"/>
      <c r="P126" s="537"/>
      <c r="Q126" s="397"/>
      <c r="R126" s="82"/>
    </row>
    <row r="127" spans="2:18" hidden="1">
      <c r="B127" s="94" t="s">
        <v>533</v>
      </c>
      <c r="C127" s="191" t="s">
        <v>796</v>
      </c>
      <c r="D127" s="194"/>
      <c r="E127" s="49" t="s">
        <v>782</v>
      </c>
      <c r="F127" s="28" t="s">
        <v>207</v>
      </c>
      <c r="G127" s="85">
        <f t="shared" ref="G127:J127" si="90">IF(G126="",G125,G126)*G122</f>
        <v>0</v>
      </c>
      <c r="H127" s="85">
        <f t="shared" si="90"/>
        <v>0</v>
      </c>
      <c r="I127" s="85">
        <f t="shared" si="90"/>
        <v>0</v>
      </c>
      <c r="J127" s="85">
        <f t="shared" si="90"/>
        <v>0</v>
      </c>
      <c r="K127" s="85">
        <f t="shared" ref="K127:P127" si="91">IF(K126="",K125,K126)*K122</f>
        <v>0</v>
      </c>
      <c r="L127" s="85">
        <f t="shared" si="91"/>
        <v>0</v>
      </c>
      <c r="M127" s="85">
        <f t="shared" si="91"/>
        <v>0</v>
      </c>
      <c r="N127" s="85">
        <f t="shared" si="91"/>
        <v>0</v>
      </c>
      <c r="O127" s="85">
        <f t="shared" si="91"/>
        <v>0</v>
      </c>
      <c r="P127" s="85">
        <f t="shared" si="91"/>
        <v>0</v>
      </c>
      <c r="Q127" s="397"/>
      <c r="R127" s="44"/>
    </row>
    <row r="128" spans="2:18" ht="33.75" hidden="1">
      <c r="B128" s="94" t="s">
        <v>533</v>
      </c>
      <c r="C128" s="181" t="s">
        <v>557</v>
      </c>
      <c r="D128" s="194"/>
      <c r="E128" s="82" t="s">
        <v>797</v>
      </c>
      <c r="F128" s="28" t="s">
        <v>123</v>
      </c>
      <c r="G128" s="461" t="s">
        <v>876</v>
      </c>
      <c r="H128" s="461" t="s">
        <v>876</v>
      </c>
      <c r="I128" s="461" t="s">
        <v>876</v>
      </c>
      <c r="J128" s="461" t="s">
        <v>876</v>
      </c>
      <c r="K128" s="461" t="s">
        <v>876</v>
      </c>
      <c r="L128" s="461" t="s">
        <v>876</v>
      </c>
      <c r="M128" s="461" t="s">
        <v>876</v>
      </c>
      <c r="N128" s="461" t="s">
        <v>876</v>
      </c>
      <c r="O128" s="461" t="s">
        <v>876</v>
      </c>
      <c r="P128" s="461" t="s">
        <v>876</v>
      </c>
      <c r="Q128" s="397"/>
      <c r="R128" s="82"/>
    </row>
    <row r="129" spans="2:18" hidden="1">
      <c r="B129" s="94" t="s">
        <v>533</v>
      </c>
      <c r="C129" s="183"/>
      <c r="D129" s="194"/>
      <c r="E129" s="82" t="s">
        <v>798</v>
      </c>
      <c r="F129" s="28" t="s">
        <v>241</v>
      </c>
      <c r="G129" s="54">
        <f t="shared" ref="G129:J129" si="92">IF(G119=0,0,IF(G124=Off_site,0,_xlfn.XLOOKUP(G128,Load_haul_fill_names_CS,Load_haul_fill_rates_CS)))</f>
        <v>9.4868462704768426</v>
      </c>
      <c r="H129" s="54">
        <f t="shared" si="92"/>
        <v>0</v>
      </c>
      <c r="I129" s="54">
        <f t="shared" si="92"/>
        <v>0</v>
      </c>
      <c r="J129" s="54">
        <f t="shared" si="92"/>
        <v>0</v>
      </c>
      <c r="K129" s="54">
        <f t="shared" ref="K129:P129" si="93">IF(K119=0,0,IF(K124=Off_site,0,_xlfn.XLOOKUP(K128,Load_haul_fill_names_CS,Load_haul_fill_rates_CS)))</f>
        <v>0</v>
      </c>
      <c r="L129" s="54">
        <f t="shared" si="93"/>
        <v>9.4868462704768426</v>
      </c>
      <c r="M129" s="54">
        <f t="shared" si="93"/>
        <v>9.4868462704768426</v>
      </c>
      <c r="N129" s="54">
        <f t="shared" si="93"/>
        <v>9.4868462704768426</v>
      </c>
      <c r="O129" s="54">
        <f t="shared" si="93"/>
        <v>9.4868462704768426</v>
      </c>
      <c r="P129" s="54">
        <f t="shared" si="93"/>
        <v>9.4868462704768426</v>
      </c>
      <c r="Q129" s="397"/>
      <c r="R129" s="44"/>
    </row>
    <row r="130" spans="2:18" hidden="1">
      <c r="B130" s="94" t="s">
        <v>533</v>
      </c>
      <c r="C130" s="183"/>
      <c r="D130" s="194"/>
      <c r="E130" s="82" t="s">
        <v>799</v>
      </c>
      <c r="F130" s="28" t="s">
        <v>241</v>
      </c>
      <c r="G130" s="537"/>
      <c r="H130" s="537"/>
      <c r="I130" s="537"/>
      <c r="J130" s="537"/>
      <c r="K130" s="537"/>
      <c r="L130" s="537"/>
      <c r="M130" s="537"/>
      <c r="N130" s="537"/>
      <c r="O130" s="537"/>
      <c r="P130" s="537"/>
      <c r="Q130" s="397"/>
      <c r="R130" s="44"/>
    </row>
    <row r="131" spans="2:18" hidden="1">
      <c r="B131" s="94" t="s">
        <v>533</v>
      </c>
      <c r="C131" s="185"/>
      <c r="D131" s="196"/>
      <c r="E131" s="49" t="s">
        <v>146</v>
      </c>
      <c r="F131" s="28" t="s">
        <v>207</v>
      </c>
      <c r="G131" s="102">
        <f t="shared" ref="G131:J131" si="94">IF(G130="",G129,G130)*G122</f>
        <v>0</v>
      </c>
      <c r="H131" s="102">
        <f t="shared" si="94"/>
        <v>0</v>
      </c>
      <c r="I131" s="102">
        <f t="shared" si="94"/>
        <v>0</v>
      </c>
      <c r="J131" s="102">
        <f t="shared" si="94"/>
        <v>0</v>
      </c>
      <c r="K131" s="102">
        <f t="shared" ref="K131:P131" si="95">IF(K130="",K129,K130)*K122</f>
        <v>0</v>
      </c>
      <c r="L131" s="102">
        <f t="shared" si="95"/>
        <v>0</v>
      </c>
      <c r="M131" s="102">
        <f t="shared" si="95"/>
        <v>0</v>
      </c>
      <c r="N131" s="102">
        <f t="shared" si="95"/>
        <v>0</v>
      </c>
      <c r="O131" s="102">
        <f t="shared" si="95"/>
        <v>0</v>
      </c>
      <c r="P131" s="102">
        <f t="shared" si="95"/>
        <v>0</v>
      </c>
      <c r="Q131" s="397"/>
      <c r="R131" s="82"/>
    </row>
    <row r="132" spans="2:18" hidden="1">
      <c r="B132" s="94" t="s">
        <v>533</v>
      </c>
      <c r="C132" s="181" t="s">
        <v>800</v>
      </c>
      <c r="D132" s="192" t="s">
        <v>542</v>
      </c>
      <c r="E132" s="49" t="s">
        <v>801</v>
      </c>
      <c r="F132" s="28" t="s">
        <v>241</v>
      </c>
      <c r="G132" s="54">
        <f t="shared" ref="G132:J132" si="96">IF(G119=0,0,IF(G124=Borrow_Pit,0,Capping_clay_purchase_rate))</f>
        <v>0</v>
      </c>
      <c r="H132" s="54">
        <f t="shared" si="96"/>
        <v>56.275440499999995</v>
      </c>
      <c r="I132" s="54">
        <f t="shared" si="96"/>
        <v>0</v>
      </c>
      <c r="J132" s="54">
        <f t="shared" si="96"/>
        <v>0</v>
      </c>
      <c r="K132" s="54">
        <f t="shared" ref="K132:P132" si="97">IF(K119=0,0,IF(K124=Borrow_Pit,0,Capping_clay_purchase_rate))</f>
        <v>0</v>
      </c>
      <c r="L132" s="54">
        <f t="shared" si="97"/>
        <v>0</v>
      </c>
      <c r="M132" s="54">
        <f t="shared" si="97"/>
        <v>0</v>
      </c>
      <c r="N132" s="54">
        <f t="shared" si="97"/>
        <v>0</v>
      </c>
      <c r="O132" s="54">
        <f t="shared" si="97"/>
        <v>0</v>
      </c>
      <c r="P132" s="54">
        <f t="shared" si="97"/>
        <v>0</v>
      </c>
      <c r="Q132" s="397"/>
      <c r="R132" s="206"/>
    </row>
    <row r="133" spans="2:18" hidden="1">
      <c r="B133" s="94" t="s">
        <v>533</v>
      </c>
      <c r="C133" s="183"/>
      <c r="D133" s="194"/>
      <c r="E133" s="49" t="s">
        <v>802</v>
      </c>
      <c r="F133" s="28" t="s">
        <v>241</v>
      </c>
      <c r="G133" s="537"/>
      <c r="H133" s="537"/>
      <c r="I133" s="537"/>
      <c r="J133" s="537"/>
      <c r="K133" s="537"/>
      <c r="L133" s="537"/>
      <c r="M133" s="537"/>
      <c r="N133" s="537"/>
      <c r="O133" s="537"/>
      <c r="P133" s="537"/>
      <c r="Q133" s="397"/>
      <c r="R133" s="82"/>
    </row>
    <row r="134" spans="2:18" hidden="1">
      <c r="B134" s="94" t="s">
        <v>533</v>
      </c>
      <c r="C134" s="185"/>
      <c r="D134" s="194"/>
      <c r="E134" s="49" t="s">
        <v>146</v>
      </c>
      <c r="F134" s="28" t="s">
        <v>207</v>
      </c>
      <c r="G134" s="85">
        <f t="shared" ref="G134:J134" si="98">IF(G133="",G132,G133)*G122</f>
        <v>0</v>
      </c>
      <c r="H134" s="85">
        <f t="shared" si="98"/>
        <v>0</v>
      </c>
      <c r="I134" s="85">
        <f t="shared" si="98"/>
        <v>0</v>
      </c>
      <c r="J134" s="85">
        <f t="shared" si="98"/>
        <v>0</v>
      </c>
      <c r="K134" s="85">
        <f t="shared" ref="K134:P134" si="99">IF(K133="",K132,K133)*K122</f>
        <v>0</v>
      </c>
      <c r="L134" s="85">
        <f t="shared" si="99"/>
        <v>0</v>
      </c>
      <c r="M134" s="85">
        <f t="shared" si="99"/>
        <v>0</v>
      </c>
      <c r="N134" s="85">
        <f t="shared" si="99"/>
        <v>0</v>
      </c>
      <c r="O134" s="85">
        <f t="shared" si="99"/>
        <v>0</v>
      </c>
      <c r="P134" s="85">
        <f t="shared" si="99"/>
        <v>0</v>
      </c>
      <c r="Q134" s="397"/>
      <c r="R134" s="82"/>
    </row>
    <row r="135" spans="2:18" ht="22.5" hidden="1">
      <c r="B135" s="94" t="s">
        <v>533</v>
      </c>
      <c r="C135" s="181" t="s">
        <v>557</v>
      </c>
      <c r="D135" s="194"/>
      <c r="E135" s="82" t="s">
        <v>803</v>
      </c>
      <c r="F135" s="28" t="s">
        <v>123</v>
      </c>
      <c r="G135" s="464" t="s">
        <v>804</v>
      </c>
      <c r="H135" s="464" t="s">
        <v>804</v>
      </c>
      <c r="I135" s="464" t="s">
        <v>804</v>
      </c>
      <c r="J135" s="464" t="s">
        <v>804</v>
      </c>
      <c r="K135" s="464" t="s">
        <v>804</v>
      </c>
      <c r="L135" s="464" t="s">
        <v>804</v>
      </c>
      <c r="M135" s="464" t="s">
        <v>804</v>
      </c>
      <c r="N135" s="464" t="s">
        <v>804</v>
      </c>
      <c r="O135" s="464" t="s">
        <v>804</v>
      </c>
      <c r="P135" s="464" t="s">
        <v>804</v>
      </c>
      <c r="Q135" s="397"/>
      <c r="R135" s="82"/>
    </row>
    <row r="136" spans="2:18" ht="22.5" hidden="1">
      <c r="B136" s="94" t="s">
        <v>533</v>
      </c>
      <c r="C136" s="183"/>
      <c r="D136" s="194"/>
      <c r="E136" s="82" t="s">
        <v>805</v>
      </c>
      <c r="F136" s="28" t="s">
        <v>234</v>
      </c>
      <c r="G136" s="54">
        <f t="shared" ref="G136:J136" si="100">IF(G119=0,0,IF(G124=Borrow_Pit,0,_xlfn.XLOOKUP(G135,Long_haul_clay_names_CS,Long_haul_clay_rates_CS)))</f>
        <v>0</v>
      </c>
      <c r="H136" s="54">
        <f t="shared" si="100"/>
        <v>0.10112755253077801</v>
      </c>
      <c r="I136" s="54">
        <f t="shared" si="100"/>
        <v>0</v>
      </c>
      <c r="J136" s="54">
        <f t="shared" si="100"/>
        <v>0</v>
      </c>
      <c r="K136" s="54">
        <f t="shared" ref="K136:P136" si="101">IF(K119=0,0,IF(K124=Borrow_Pit,0,_xlfn.XLOOKUP(K135,Long_haul_clay_names_CS,Long_haul_clay_rates_CS)))</f>
        <v>0</v>
      </c>
      <c r="L136" s="54">
        <f t="shared" si="101"/>
        <v>0</v>
      </c>
      <c r="M136" s="54">
        <f t="shared" si="101"/>
        <v>0</v>
      </c>
      <c r="N136" s="54">
        <f t="shared" si="101"/>
        <v>0</v>
      </c>
      <c r="O136" s="54">
        <f t="shared" si="101"/>
        <v>0</v>
      </c>
      <c r="P136" s="54">
        <f t="shared" si="101"/>
        <v>0</v>
      </c>
      <c r="Q136" s="397"/>
      <c r="R136" s="44"/>
    </row>
    <row r="137" spans="2:18" ht="22.5" hidden="1">
      <c r="B137" s="94" t="s">
        <v>533</v>
      </c>
      <c r="C137" s="183"/>
      <c r="D137" s="194"/>
      <c r="E137" s="82" t="s">
        <v>806</v>
      </c>
      <c r="F137" s="28" t="s">
        <v>234</v>
      </c>
      <c r="G137" s="537"/>
      <c r="H137" s="537"/>
      <c r="I137" s="537"/>
      <c r="J137" s="537"/>
      <c r="K137" s="537"/>
      <c r="L137" s="537"/>
      <c r="M137" s="537"/>
      <c r="N137" s="537"/>
      <c r="O137" s="537"/>
      <c r="P137" s="537"/>
      <c r="Q137" s="397"/>
      <c r="R137" s="44"/>
    </row>
    <row r="138" spans="2:18" hidden="1">
      <c r="B138" s="94" t="s">
        <v>533</v>
      </c>
      <c r="C138" s="185"/>
      <c r="D138" s="196"/>
      <c r="E138" s="49" t="s">
        <v>146</v>
      </c>
      <c r="F138" s="28" t="s">
        <v>207</v>
      </c>
      <c r="G138" s="85">
        <f t="shared" ref="G138:J138" si="102">IF(G137="",G136,G137)*G123*_xlfn.XLOOKUP(G135,Long_haul_distance_names_L,Long_haul_distances_average_L)</f>
        <v>0</v>
      </c>
      <c r="H138" s="85">
        <f t="shared" si="102"/>
        <v>0</v>
      </c>
      <c r="I138" s="85">
        <f t="shared" si="102"/>
        <v>0</v>
      </c>
      <c r="J138" s="85">
        <f t="shared" si="102"/>
        <v>0</v>
      </c>
      <c r="K138" s="85">
        <f t="shared" ref="K138:P138" si="103">IF(K137="",K136,K137)*K123*_xlfn.XLOOKUP(K135,Long_haul_distance_names_L,Long_haul_distances_average_L)</f>
        <v>0</v>
      </c>
      <c r="L138" s="85">
        <f t="shared" si="103"/>
        <v>0</v>
      </c>
      <c r="M138" s="85">
        <f t="shared" si="103"/>
        <v>0</v>
      </c>
      <c r="N138" s="85">
        <f t="shared" si="103"/>
        <v>0</v>
      </c>
      <c r="O138" s="85">
        <f t="shared" si="103"/>
        <v>0</v>
      </c>
      <c r="P138" s="85">
        <f t="shared" si="103"/>
        <v>0</v>
      </c>
      <c r="Q138" s="397"/>
      <c r="R138" s="82"/>
    </row>
    <row r="139" spans="2:18" hidden="1">
      <c r="B139" s="94" t="s">
        <v>533</v>
      </c>
      <c r="C139" s="181" t="s">
        <v>807</v>
      </c>
      <c r="D139" s="192" t="s">
        <v>787</v>
      </c>
      <c r="E139" s="82" t="s">
        <v>738</v>
      </c>
      <c r="F139" s="28" t="s">
        <v>123</v>
      </c>
      <c r="G139" s="464" t="s">
        <v>621</v>
      </c>
      <c r="H139" s="464" t="s">
        <v>621</v>
      </c>
      <c r="I139" s="464" t="s">
        <v>621</v>
      </c>
      <c r="J139" s="464" t="s">
        <v>621</v>
      </c>
      <c r="K139" s="464" t="s">
        <v>621</v>
      </c>
      <c r="L139" s="464" t="s">
        <v>621</v>
      </c>
      <c r="M139" s="464" t="s">
        <v>621</v>
      </c>
      <c r="N139" s="464" t="s">
        <v>621</v>
      </c>
      <c r="O139" s="464" t="s">
        <v>621</v>
      </c>
      <c r="P139" s="464" t="s">
        <v>621</v>
      </c>
      <c r="Q139" s="397"/>
      <c r="R139" s="82"/>
    </row>
    <row r="140" spans="2:18" hidden="1">
      <c r="B140" s="94" t="s">
        <v>533</v>
      </c>
      <c r="C140" s="183"/>
      <c r="D140" s="194"/>
      <c r="E140" s="82" t="s">
        <v>227</v>
      </c>
      <c r="F140" s="28" t="s">
        <v>329</v>
      </c>
      <c r="G140" s="54">
        <f t="shared" ref="G140:J140" si="104">IF(G119=0,0,_xlfn.XLOOKUP(G139,Grader_trim_names_CS,Grader_trim_rates_CS))</f>
        <v>241.70290684367134</v>
      </c>
      <c r="H140" s="54">
        <f t="shared" si="104"/>
        <v>241.70290684367134</v>
      </c>
      <c r="I140" s="54">
        <f t="shared" si="104"/>
        <v>0</v>
      </c>
      <c r="J140" s="54">
        <f t="shared" si="104"/>
        <v>0</v>
      </c>
      <c r="K140" s="54">
        <f t="shared" ref="K140:P140" si="105">IF(K119=0,0,_xlfn.XLOOKUP(K139,Grader_trim_names_CS,Grader_trim_rates_CS))</f>
        <v>0</v>
      </c>
      <c r="L140" s="54">
        <f t="shared" si="105"/>
        <v>241.70290684367134</v>
      </c>
      <c r="M140" s="54">
        <f t="shared" si="105"/>
        <v>241.70290684367134</v>
      </c>
      <c r="N140" s="54">
        <f t="shared" si="105"/>
        <v>241.70290684367134</v>
      </c>
      <c r="O140" s="54">
        <f t="shared" si="105"/>
        <v>241.70290684367134</v>
      </c>
      <c r="P140" s="54">
        <f t="shared" si="105"/>
        <v>241.70290684367134</v>
      </c>
      <c r="Q140" s="397"/>
      <c r="R140" s="44"/>
    </row>
    <row r="141" spans="2:18" hidden="1">
      <c r="B141" s="94" t="s">
        <v>533</v>
      </c>
      <c r="C141" s="183"/>
      <c r="D141" s="194"/>
      <c r="E141" s="82" t="s">
        <v>229</v>
      </c>
      <c r="F141" s="28" t="s">
        <v>329</v>
      </c>
      <c r="G141" s="537"/>
      <c r="H141" s="537"/>
      <c r="I141" s="537"/>
      <c r="J141" s="537"/>
      <c r="K141" s="537"/>
      <c r="L141" s="537"/>
      <c r="M141" s="537"/>
      <c r="N141" s="537"/>
      <c r="O141" s="537"/>
      <c r="P141" s="537"/>
      <c r="Q141" s="397"/>
      <c r="R141" s="82"/>
    </row>
    <row r="142" spans="2:18" hidden="1">
      <c r="B142" s="94" t="s">
        <v>533</v>
      </c>
      <c r="C142" s="185"/>
      <c r="D142" s="194"/>
      <c r="E142" s="82" t="s">
        <v>146</v>
      </c>
      <c r="F142" s="28" t="s">
        <v>207</v>
      </c>
      <c r="G142" s="123">
        <f t="shared" ref="G142:J142" si="106">IF(G141="",G140,G141)*G118</f>
        <v>0</v>
      </c>
      <c r="H142" s="123">
        <f t="shared" si="106"/>
        <v>0</v>
      </c>
      <c r="I142" s="123">
        <f t="shared" si="106"/>
        <v>0</v>
      </c>
      <c r="J142" s="123">
        <f t="shared" si="106"/>
        <v>0</v>
      </c>
      <c r="K142" s="123">
        <f t="shared" ref="K142:P142" si="107">IF(K141="",K140,K141)*K118</f>
        <v>0</v>
      </c>
      <c r="L142" s="123">
        <f t="shared" si="107"/>
        <v>0</v>
      </c>
      <c r="M142" s="123">
        <f t="shared" si="107"/>
        <v>0</v>
      </c>
      <c r="N142" s="123">
        <f t="shared" si="107"/>
        <v>0</v>
      </c>
      <c r="O142" s="123">
        <f t="shared" si="107"/>
        <v>0</v>
      </c>
      <c r="P142" s="123">
        <f t="shared" si="107"/>
        <v>0</v>
      </c>
      <c r="Q142" s="397"/>
      <c r="R142" s="82"/>
    </row>
    <row r="143" spans="2:18" hidden="1">
      <c r="B143" s="94" t="s">
        <v>533</v>
      </c>
      <c r="C143" s="181" t="s">
        <v>808</v>
      </c>
      <c r="D143" s="194"/>
      <c r="E143" s="82" t="s">
        <v>227</v>
      </c>
      <c r="F143" s="28" t="s">
        <v>329</v>
      </c>
      <c r="G143" s="54">
        <f>IF(G119=0,0,'Cost Schedule'!$D$383)</f>
        <v>14160</v>
      </c>
      <c r="H143" s="54">
        <f>IF(H119=0,0,'Cost Schedule'!$D$383)</f>
        <v>14160</v>
      </c>
      <c r="I143" s="54">
        <f>IF(I119=0,0,'Cost Schedule'!$D$383)</f>
        <v>0</v>
      </c>
      <c r="J143" s="54">
        <f>IF(J119=0,0,'Cost Schedule'!$D$383)</f>
        <v>0</v>
      </c>
      <c r="K143" s="54">
        <f>IF(K119=0,0,'Cost Schedule'!$D$383)</f>
        <v>0</v>
      </c>
      <c r="L143" s="54">
        <f>IF(L119=0,0,'Cost Schedule'!$D$383)</f>
        <v>14160</v>
      </c>
      <c r="M143" s="54">
        <f>IF(M119=0,0,'Cost Schedule'!$D$383)</f>
        <v>14160</v>
      </c>
      <c r="N143" s="54">
        <f>IF(N119=0,0,'Cost Schedule'!$D$383)</f>
        <v>14160</v>
      </c>
      <c r="O143" s="54">
        <f>IF(O119=0,0,'Cost Schedule'!$D$383)</f>
        <v>14160</v>
      </c>
      <c r="P143" s="54">
        <f>IF(P119=0,0,'Cost Schedule'!$D$383)</f>
        <v>14160</v>
      </c>
      <c r="Q143" s="397"/>
      <c r="R143" s="44"/>
    </row>
    <row r="144" spans="2:18" hidden="1">
      <c r="B144" s="94" t="s">
        <v>533</v>
      </c>
      <c r="C144" s="183"/>
      <c r="D144" s="194"/>
      <c r="E144" s="82" t="s">
        <v>229</v>
      </c>
      <c r="F144" s="28" t="s">
        <v>329</v>
      </c>
      <c r="G144" s="537"/>
      <c r="H144" s="537"/>
      <c r="I144" s="537"/>
      <c r="J144" s="537"/>
      <c r="K144" s="537"/>
      <c r="L144" s="537"/>
      <c r="M144" s="537"/>
      <c r="N144" s="537"/>
      <c r="O144" s="537"/>
      <c r="P144" s="537"/>
      <c r="Q144" s="397"/>
      <c r="R144" s="82"/>
    </row>
    <row r="145" spans="2:18" hidden="1">
      <c r="B145" s="94" t="s">
        <v>533</v>
      </c>
      <c r="C145" s="185"/>
      <c r="D145" s="194"/>
      <c r="E145" s="82" t="s">
        <v>146</v>
      </c>
      <c r="F145" s="28" t="s">
        <v>207</v>
      </c>
      <c r="G145" s="123">
        <f t="shared" ref="G145:J145" si="108">IF(G144="",G143,G144)*G118</f>
        <v>0</v>
      </c>
      <c r="H145" s="123">
        <f t="shared" si="108"/>
        <v>0</v>
      </c>
      <c r="I145" s="123">
        <f t="shared" si="108"/>
        <v>0</v>
      </c>
      <c r="J145" s="123">
        <f t="shared" si="108"/>
        <v>0</v>
      </c>
      <c r="K145" s="123">
        <f t="shared" ref="K145:P145" si="109">IF(K144="",K143,K144)*K118</f>
        <v>0</v>
      </c>
      <c r="L145" s="123">
        <f t="shared" si="109"/>
        <v>0</v>
      </c>
      <c r="M145" s="123">
        <f t="shared" si="109"/>
        <v>0</v>
      </c>
      <c r="N145" s="123">
        <f t="shared" si="109"/>
        <v>0</v>
      </c>
      <c r="O145" s="123">
        <f t="shared" si="109"/>
        <v>0</v>
      </c>
      <c r="P145" s="123">
        <f t="shared" si="109"/>
        <v>0</v>
      </c>
      <c r="Q145" s="397"/>
      <c r="R145" s="82"/>
    </row>
    <row r="146" spans="2:18" hidden="1">
      <c r="B146" s="94" t="s">
        <v>533</v>
      </c>
      <c r="C146" s="181" t="s">
        <v>809</v>
      </c>
      <c r="D146" s="194"/>
      <c r="E146" s="82" t="s">
        <v>227</v>
      </c>
      <c r="F146" s="28" t="s">
        <v>241</v>
      </c>
      <c r="G146" s="54">
        <f>'Cost Schedule'!$D$213</f>
        <v>0.82325581395348835</v>
      </c>
      <c r="H146" s="54">
        <f>'Cost Schedule'!$D$213</f>
        <v>0.82325581395348835</v>
      </c>
      <c r="I146" s="54">
        <f>'Cost Schedule'!$D$213</f>
        <v>0.82325581395348835</v>
      </c>
      <c r="J146" s="54">
        <f>'Cost Schedule'!$D$213</f>
        <v>0.82325581395348835</v>
      </c>
      <c r="K146" s="54">
        <f>'Cost Schedule'!$D$213</f>
        <v>0.82325581395348835</v>
      </c>
      <c r="L146" s="54">
        <f>'Cost Schedule'!$D$213</f>
        <v>0.82325581395348835</v>
      </c>
      <c r="M146" s="54">
        <f>'Cost Schedule'!$D$213</f>
        <v>0.82325581395348835</v>
      </c>
      <c r="N146" s="54">
        <f>'Cost Schedule'!$D$213</f>
        <v>0.82325581395348835</v>
      </c>
      <c r="O146" s="54">
        <f>'Cost Schedule'!$D$213</f>
        <v>0.82325581395348835</v>
      </c>
      <c r="P146" s="54">
        <f>'Cost Schedule'!$D$213</f>
        <v>0.82325581395348835</v>
      </c>
      <c r="Q146" s="397"/>
      <c r="R146" s="44"/>
    </row>
    <row r="147" spans="2:18" hidden="1">
      <c r="B147" s="94" t="s">
        <v>533</v>
      </c>
      <c r="C147" s="183"/>
      <c r="D147" s="194"/>
      <c r="E147" s="82" t="s">
        <v>229</v>
      </c>
      <c r="F147" s="28" t="s">
        <v>241</v>
      </c>
      <c r="G147" s="537"/>
      <c r="H147" s="537"/>
      <c r="I147" s="537"/>
      <c r="J147" s="537"/>
      <c r="K147" s="537"/>
      <c r="L147" s="537"/>
      <c r="M147" s="537"/>
      <c r="N147" s="537"/>
      <c r="O147" s="537"/>
      <c r="P147" s="537"/>
      <c r="Q147" s="397"/>
      <c r="R147" s="82"/>
    </row>
    <row r="148" spans="2:18" hidden="1">
      <c r="B148" s="94" t="s">
        <v>533</v>
      </c>
      <c r="C148" s="185"/>
      <c r="D148" s="194"/>
      <c r="E148" s="82" t="s">
        <v>146</v>
      </c>
      <c r="F148" s="28" t="s">
        <v>207</v>
      </c>
      <c r="G148" s="123">
        <f t="shared" ref="G148:J148" si="110">IF(G147="",G146,G147)*G122*4</f>
        <v>0</v>
      </c>
      <c r="H148" s="123">
        <f t="shared" si="110"/>
        <v>0</v>
      </c>
      <c r="I148" s="123">
        <f t="shared" si="110"/>
        <v>0</v>
      </c>
      <c r="J148" s="123">
        <f t="shared" si="110"/>
        <v>0</v>
      </c>
      <c r="K148" s="123">
        <f t="shared" ref="K148:P148" si="111">IF(K147="",K146,K147)*K122*4</f>
        <v>0</v>
      </c>
      <c r="L148" s="123">
        <f t="shared" si="111"/>
        <v>0</v>
      </c>
      <c r="M148" s="123">
        <f t="shared" si="111"/>
        <v>0</v>
      </c>
      <c r="N148" s="123">
        <f t="shared" si="111"/>
        <v>0</v>
      </c>
      <c r="O148" s="123">
        <f t="shared" si="111"/>
        <v>0</v>
      </c>
      <c r="P148" s="123">
        <f t="shared" si="111"/>
        <v>0</v>
      </c>
      <c r="Q148" s="397"/>
      <c r="R148" s="82"/>
    </row>
    <row r="149" spans="2:18" hidden="1">
      <c r="B149" s="94" t="s">
        <v>533</v>
      </c>
      <c r="C149" s="181" t="s">
        <v>810</v>
      </c>
      <c r="D149" s="194"/>
      <c r="E149" s="82" t="s">
        <v>811</v>
      </c>
      <c r="F149" s="28" t="s">
        <v>329</v>
      </c>
      <c r="G149" s="54">
        <f>IF(G119=0,0,'Cost Schedule'!$D$46)</f>
        <v>8616.7643654301646</v>
      </c>
      <c r="H149" s="54">
        <f>IF(H119=0,0,'Cost Schedule'!$D$46)</f>
        <v>8616.7643654301646</v>
      </c>
      <c r="I149" s="54">
        <f>IF(I119=0,0,'Cost Schedule'!$D$46)</f>
        <v>0</v>
      </c>
      <c r="J149" s="54">
        <f>IF(J119=0,0,'Cost Schedule'!$D$46)</f>
        <v>0</v>
      </c>
      <c r="K149" s="54">
        <f>IF(K119=0,0,'Cost Schedule'!$D$46)</f>
        <v>0</v>
      </c>
      <c r="L149" s="54">
        <f>IF(L119=0,0,'Cost Schedule'!$D$46)</f>
        <v>8616.7643654301646</v>
      </c>
      <c r="M149" s="54">
        <f>IF(M119=0,0,'Cost Schedule'!$D$46)</f>
        <v>8616.7643654301646</v>
      </c>
      <c r="N149" s="54">
        <f>IF(N119=0,0,'Cost Schedule'!$D$46)</f>
        <v>8616.7643654301646</v>
      </c>
      <c r="O149" s="54">
        <f>IF(O119=0,0,'Cost Schedule'!$D$46)</f>
        <v>8616.7643654301646</v>
      </c>
      <c r="P149" s="54">
        <f>IF(P119=0,0,'Cost Schedule'!$D$46)</f>
        <v>8616.7643654301646</v>
      </c>
      <c r="Q149" s="397"/>
      <c r="R149" s="44"/>
    </row>
    <row r="150" spans="2:18" hidden="1">
      <c r="B150" s="94" t="s">
        <v>533</v>
      </c>
      <c r="C150" s="183"/>
      <c r="D150" s="194"/>
      <c r="E150" s="82" t="s">
        <v>812</v>
      </c>
      <c r="F150" s="28" t="s">
        <v>329</v>
      </c>
      <c r="G150" s="537"/>
      <c r="H150" s="537"/>
      <c r="I150" s="537"/>
      <c r="J150" s="537"/>
      <c r="K150" s="537"/>
      <c r="L150" s="537"/>
      <c r="M150" s="537"/>
      <c r="N150" s="537"/>
      <c r="O150" s="537"/>
      <c r="P150" s="537"/>
      <c r="Q150" s="397"/>
      <c r="R150" s="82"/>
    </row>
    <row r="151" spans="2:18" hidden="1">
      <c r="B151" s="94" t="s">
        <v>533</v>
      </c>
      <c r="C151" s="185"/>
      <c r="D151" s="196"/>
      <c r="E151" s="49" t="s">
        <v>146</v>
      </c>
      <c r="F151" s="28" t="s">
        <v>207</v>
      </c>
      <c r="G151" s="85">
        <f t="shared" ref="G151:J151" si="112">IF(G150="",G149,G150)*G118</f>
        <v>0</v>
      </c>
      <c r="H151" s="85">
        <f t="shared" si="112"/>
        <v>0</v>
      </c>
      <c r="I151" s="85">
        <f t="shared" si="112"/>
        <v>0</v>
      </c>
      <c r="J151" s="85">
        <f t="shared" si="112"/>
        <v>0</v>
      </c>
      <c r="K151" s="85">
        <f t="shared" ref="K151:P151" si="113">IF(K150="",K149,K150)*K118</f>
        <v>0</v>
      </c>
      <c r="L151" s="85">
        <f t="shared" si="113"/>
        <v>0</v>
      </c>
      <c r="M151" s="85">
        <f t="shared" si="113"/>
        <v>0</v>
      </c>
      <c r="N151" s="85">
        <f t="shared" si="113"/>
        <v>0</v>
      </c>
      <c r="O151" s="85">
        <f t="shared" si="113"/>
        <v>0</v>
      </c>
      <c r="P151" s="85">
        <f t="shared" si="113"/>
        <v>0</v>
      </c>
      <c r="Q151" s="397"/>
      <c r="R151" s="82"/>
    </row>
    <row r="152" spans="2:18" hidden="1">
      <c r="B152" s="94" t="s">
        <v>533</v>
      </c>
      <c r="C152" s="158"/>
      <c r="D152" s="66"/>
      <c r="E152" s="67" t="str">
        <f>C116</f>
        <v>Construct low permeability layers</v>
      </c>
      <c r="F152" s="72"/>
      <c r="G152" s="83">
        <f t="shared" ref="G152:J152" si="114">G127+G131+G134+G138+G142+G145+G148+G151</f>
        <v>0</v>
      </c>
      <c r="H152" s="83">
        <f t="shared" si="114"/>
        <v>0</v>
      </c>
      <c r="I152" s="83">
        <f t="shared" si="114"/>
        <v>0</v>
      </c>
      <c r="J152" s="83">
        <f t="shared" si="114"/>
        <v>0</v>
      </c>
      <c r="K152" s="83">
        <f t="shared" ref="K152:O152" si="115">K127+K131+K134+K138+K142+K145+K148+K151</f>
        <v>0</v>
      </c>
      <c r="L152" s="83">
        <f t="shared" si="115"/>
        <v>0</v>
      </c>
      <c r="M152" s="83">
        <f t="shared" si="115"/>
        <v>0</v>
      </c>
      <c r="N152" s="83">
        <f t="shared" si="115"/>
        <v>0</v>
      </c>
      <c r="O152" s="83">
        <f t="shared" si="115"/>
        <v>0</v>
      </c>
      <c r="P152" s="83">
        <f>P127+P131+P142+P145+P148+P151+P134</f>
        <v>0</v>
      </c>
      <c r="Q152" s="397"/>
      <c r="R152" s="82"/>
    </row>
    <row r="153" spans="2:18" hidden="1">
      <c r="B153" s="94" t="s">
        <v>533</v>
      </c>
      <c r="C153" s="159" t="s">
        <v>813</v>
      </c>
      <c r="D153" s="59" t="s">
        <v>814</v>
      </c>
      <c r="E153" s="49" t="s">
        <v>623</v>
      </c>
      <c r="F153" s="28" t="s">
        <v>299</v>
      </c>
      <c r="G153" s="70">
        <f>G$39-G$40</f>
        <v>0</v>
      </c>
      <c r="H153" s="70">
        <f t="shared" ref="H153:P153" si="116">H$39-H$40</f>
        <v>0</v>
      </c>
      <c r="I153" s="70">
        <f t="shared" si="116"/>
        <v>0</v>
      </c>
      <c r="J153" s="70">
        <f t="shared" si="116"/>
        <v>0</v>
      </c>
      <c r="K153" s="70">
        <f t="shared" si="116"/>
        <v>0</v>
      </c>
      <c r="L153" s="70">
        <f t="shared" si="116"/>
        <v>0</v>
      </c>
      <c r="M153" s="70">
        <f t="shared" si="116"/>
        <v>0</v>
      </c>
      <c r="N153" s="70">
        <f t="shared" si="116"/>
        <v>0</v>
      </c>
      <c r="O153" s="70">
        <f t="shared" si="116"/>
        <v>0</v>
      </c>
      <c r="P153" s="70">
        <f t="shared" si="116"/>
        <v>0</v>
      </c>
      <c r="Q153" s="397"/>
      <c r="R153" s="206" t="s">
        <v>815</v>
      </c>
    </row>
    <row r="154" spans="2:18" hidden="1">
      <c r="B154" s="94" t="s">
        <v>533</v>
      </c>
      <c r="C154" s="52"/>
      <c r="D154" s="60"/>
      <c r="E154" s="49" t="s">
        <v>624</v>
      </c>
      <c r="F154" s="28" t="s">
        <v>299</v>
      </c>
      <c r="G154" s="411"/>
      <c r="H154" s="411"/>
      <c r="I154" s="411"/>
      <c r="J154" s="411"/>
      <c r="K154" s="411"/>
      <c r="L154" s="411"/>
      <c r="M154" s="411"/>
      <c r="N154" s="411"/>
      <c r="O154" s="411"/>
      <c r="P154" s="411"/>
      <c r="Q154" s="397"/>
      <c r="R154" s="82"/>
    </row>
    <row r="155" spans="2:18" hidden="1">
      <c r="B155" s="94" t="s">
        <v>533</v>
      </c>
      <c r="C155" s="52"/>
      <c r="D155" s="60"/>
      <c r="E155" s="49" t="s">
        <v>625</v>
      </c>
      <c r="F155" s="28" t="s">
        <v>299</v>
      </c>
      <c r="G155" s="70">
        <f t="shared" ref="G155:J155" si="117">IF(G154="",G153,G154)</f>
        <v>0</v>
      </c>
      <c r="H155" s="70">
        <f t="shared" si="117"/>
        <v>0</v>
      </c>
      <c r="I155" s="70">
        <f t="shared" si="117"/>
        <v>0</v>
      </c>
      <c r="J155" s="70">
        <f t="shared" si="117"/>
        <v>0</v>
      </c>
      <c r="K155" s="70">
        <f t="shared" ref="K155:P155" si="118">IF(K154="",K153,K154)</f>
        <v>0</v>
      </c>
      <c r="L155" s="70">
        <f t="shared" si="118"/>
        <v>0</v>
      </c>
      <c r="M155" s="70">
        <f t="shared" si="118"/>
        <v>0</v>
      </c>
      <c r="N155" s="70">
        <f t="shared" si="118"/>
        <v>0</v>
      </c>
      <c r="O155" s="70">
        <f t="shared" si="118"/>
        <v>0</v>
      </c>
      <c r="P155" s="70">
        <f t="shared" si="118"/>
        <v>0</v>
      </c>
      <c r="Q155" s="397"/>
      <c r="R155" s="44"/>
    </row>
    <row r="156" spans="2:18" hidden="1">
      <c r="B156" s="94" t="s">
        <v>533</v>
      </c>
      <c r="C156" s="52"/>
      <c r="D156" s="60"/>
      <c r="E156" s="47" t="s">
        <v>759</v>
      </c>
      <c r="F156" s="28" t="s">
        <v>211</v>
      </c>
      <c r="G156" s="70">
        <f>_xlfn.XLOOKUP(G37,'Assumptions - Capping'!$D$4:$H$4,'Assumptions - Capping'!$D$11:$H$11)</f>
        <v>4</v>
      </c>
      <c r="H156" s="70">
        <f>_xlfn.XLOOKUP(H37,'Assumptions - Capping'!$D$4:$H$4,'Assumptions - Capping'!$D$11:$H$11)</f>
        <v>1.5</v>
      </c>
      <c r="I156" s="70">
        <f>_xlfn.XLOOKUP(I37,'Assumptions - Capping'!$D$4:$H$4,'Assumptions - Capping'!$D$11:$H$11)</f>
        <v>1</v>
      </c>
      <c r="J156" s="70">
        <f>_xlfn.XLOOKUP(J37,'Assumptions - Capping'!$D$4:$H$4,'Assumptions - Capping'!$D$11:$H$11)</f>
        <v>1</v>
      </c>
      <c r="K156" s="70">
        <f>_xlfn.XLOOKUP(K37,'Assumptions - Capping'!$D$4:$H$4,'Assumptions - Capping'!$D$11:$H$11)</f>
        <v>0</v>
      </c>
      <c r="L156" s="70">
        <f>_xlfn.XLOOKUP(L37,'Assumptions - Capping'!$D$4:$H$4,'Assumptions - Capping'!$D$11:$H$11)</f>
        <v>1.5</v>
      </c>
      <c r="M156" s="70">
        <f>_xlfn.XLOOKUP(M37,'Assumptions - Capping'!$D$4:$H$4,'Assumptions - Capping'!$D$11:$H$11)</f>
        <v>1.5</v>
      </c>
      <c r="N156" s="70">
        <f>_xlfn.XLOOKUP(N37,'Assumptions - Capping'!$D$4:$H$4,'Assumptions - Capping'!$D$11:$H$11)</f>
        <v>1.5</v>
      </c>
      <c r="O156" s="70">
        <f>_xlfn.XLOOKUP(O37,'Assumptions - Capping'!$D$4:$H$4,'Assumptions - Capping'!$D$11:$H$11)</f>
        <v>1.5</v>
      </c>
      <c r="P156" s="70">
        <f>_xlfn.XLOOKUP(P37,'Assumptions - Capping'!$D$4:$H$4,'Assumptions - Capping'!$D$11:$H$11)</f>
        <v>1.5</v>
      </c>
      <c r="Q156" s="397"/>
      <c r="R156" s="82"/>
    </row>
    <row r="157" spans="2:18" hidden="1">
      <c r="B157" s="94" t="s">
        <v>533</v>
      </c>
      <c r="C157" s="52"/>
      <c r="D157" s="60"/>
      <c r="E157" s="47" t="s">
        <v>760</v>
      </c>
      <c r="F157" s="28" t="s">
        <v>211</v>
      </c>
      <c r="G157" s="411"/>
      <c r="H157" s="411"/>
      <c r="I157" s="411"/>
      <c r="J157" s="411"/>
      <c r="K157" s="411"/>
      <c r="L157" s="411"/>
      <c r="M157" s="411"/>
      <c r="N157" s="411"/>
      <c r="O157" s="411"/>
      <c r="P157" s="411"/>
      <c r="Q157" s="397"/>
      <c r="R157" s="44" t="s">
        <v>864</v>
      </c>
    </row>
    <row r="158" spans="2:18" hidden="1">
      <c r="B158" s="94" t="s">
        <v>533</v>
      </c>
      <c r="C158" s="52"/>
      <c r="D158" s="60"/>
      <c r="E158" s="47" t="s">
        <v>761</v>
      </c>
      <c r="F158" s="28" t="s">
        <v>211</v>
      </c>
      <c r="G158" s="70">
        <f>IF(G157="",G156,G157)</f>
        <v>4</v>
      </c>
      <c r="H158" s="70">
        <f t="shared" ref="H158:P158" si="119">IF(H157="",H156,H157)</f>
        <v>1.5</v>
      </c>
      <c r="I158" s="70">
        <f t="shared" si="119"/>
        <v>1</v>
      </c>
      <c r="J158" s="70">
        <f t="shared" si="119"/>
        <v>1</v>
      </c>
      <c r="K158" s="70">
        <f t="shared" si="119"/>
        <v>0</v>
      </c>
      <c r="L158" s="70">
        <f t="shared" si="119"/>
        <v>1.5</v>
      </c>
      <c r="M158" s="70">
        <f t="shared" si="119"/>
        <v>1.5</v>
      </c>
      <c r="N158" s="70">
        <f t="shared" si="119"/>
        <v>1.5</v>
      </c>
      <c r="O158" s="70">
        <f t="shared" si="119"/>
        <v>1.5</v>
      </c>
      <c r="P158" s="70">
        <f t="shared" si="119"/>
        <v>1.5</v>
      </c>
      <c r="Q158" s="397"/>
      <c r="R158" s="44" t="str">
        <f>IF(OR(G158&lt;G156,H158&lt;H156,I158&lt;I156,J158&lt;J156,K158&lt;K156,L158&lt;L156,M158&lt;M156,N158&lt;N156,O158&lt;O156,P158&lt;P156),"Add justification for lower thickness.","If user enters less than default they must provide justification.")</f>
        <v>If user enters less than default they must provide justification.</v>
      </c>
    </row>
    <row r="159" spans="2:18" hidden="1">
      <c r="B159" s="94" t="s">
        <v>533</v>
      </c>
      <c r="C159" s="52"/>
      <c r="D159" s="60"/>
      <c r="E159" s="49" t="s">
        <v>307</v>
      </c>
      <c r="F159" s="28" t="s">
        <v>219</v>
      </c>
      <c r="G159" s="58">
        <f t="shared" ref="G159:P159" si="120">G155*Conv_sqm_ha*G158</f>
        <v>0</v>
      </c>
      <c r="H159" s="58">
        <f t="shared" si="120"/>
        <v>0</v>
      </c>
      <c r="I159" s="58">
        <f t="shared" si="120"/>
        <v>0</v>
      </c>
      <c r="J159" s="58">
        <f t="shared" si="120"/>
        <v>0</v>
      </c>
      <c r="K159" s="58">
        <f t="shared" si="120"/>
        <v>0</v>
      </c>
      <c r="L159" s="58">
        <f t="shared" si="120"/>
        <v>0</v>
      </c>
      <c r="M159" s="58">
        <f t="shared" si="120"/>
        <v>0</v>
      </c>
      <c r="N159" s="58">
        <f t="shared" si="120"/>
        <v>0</v>
      </c>
      <c r="O159" s="58">
        <f t="shared" si="120"/>
        <v>0</v>
      </c>
      <c r="P159" s="58">
        <f t="shared" si="120"/>
        <v>0</v>
      </c>
      <c r="Q159" s="397"/>
      <c r="R159" s="44"/>
    </row>
    <row r="160" spans="2:18" ht="33.75" hidden="1">
      <c r="B160" s="94" t="s">
        <v>533</v>
      </c>
      <c r="C160" s="181" t="s">
        <v>816</v>
      </c>
      <c r="D160" s="60"/>
      <c r="E160" s="82" t="s">
        <v>762</v>
      </c>
      <c r="F160" s="28" t="s">
        <v>123</v>
      </c>
      <c r="G160" s="464" t="s">
        <v>817</v>
      </c>
      <c r="H160" s="464" t="s">
        <v>817</v>
      </c>
      <c r="I160" s="464" t="s">
        <v>817</v>
      </c>
      <c r="J160" s="464" t="s">
        <v>817</v>
      </c>
      <c r="K160" s="464" t="s">
        <v>817</v>
      </c>
      <c r="L160" s="464" t="s">
        <v>817</v>
      </c>
      <c r="M160" s="464" t="s">
        <v>817</v>
      </c>
      <c r="N160" s="464" t="s">
        <v>817</v>
      </c>
      <c r="O160" s="464" t="s">
        <v>817</v>
      </c>
      <c r="P160" s="464" t="s">
        <v>817</v>
      </c>
      <c r="Q160" s="397"/>
      <c r="R160" s="82"/>
    </row>
    <row r="161" spans="2:18" hidden="1">
      <c r="B161" s="94" t="s">
        <v>533</v>
      </c>
      <c r="C161" s="52"/>
      <c r="D161" s="60"/>
      <c r="E161" s="49" t="s">
        <v>227</v>
      </c>
      <c r="F161" s="28" t="s">
        <v>241</v>
      </c>
      <c r="G161" s="54">
        <f t="shared" ref="G161:J161" si="121">IF(G156=0,0,_xlfn.XLOOKUP(G160,Load_haul_stabilised_names_CS,Load_haul_stabilised_rates_CS))</f>
        <v>5.5737090155748836</v>
      </c>
      <c r="H161" s="54">
        <f t="shared" si="121"/>
        <v>5.5737090155748836</v>
      </c>
      <c r="I161" s="54">
        <f t="shared" si="121"/>
        <v>5.5737090155748836</v>
      </c>
      <c r="J161" s="54">
        <f t="shared" si="121"/>
        <v>5.5737090155748836</v>
      </c>
      <c r="K161" s="54">
        <f t="shared" ref="K161:P161" si="122">IF(K156=0,0,_xlfn.XLOOKUP(K160,Load_haul_stabilised_names_CS,Load_haul_stabilised_rates_CS))</f>
        <v>0</v>
      </c>
      <c r="L161" s="54">
        <f t="shared" si="122"/>
        <v>5.5737090155748836</v>
      </c>
      <c r="M161" s="54">
        <f t="shared" si="122"/>
        <v>5.5737090155748836</v>
      </c>
      <c r="N161" s="54">
        <f t="shared" si="122"/>
        <v>5.5737090155748836</v>
      </c>
      <c r="O161" s="54">
        <f t="shared" si="122"/>
        <v>5.5737090155748836</v>
      </c>
      <c r="P161" s="54">
        <f t="shared" si="122"/>
        <v>5.5737090155748836</v>
      </c>
      <c r="Q161" s="397"/>
      <c r="R161" s="44"/>
    </row>
    <row r="162" spans="2:18" hidden="1">
      <c r="B162" s="94" t="s">
        <v>533</v>
      </c>
      <c r="C162" s="52"/>
      <c r="D162" s="60"/>
      <c r="E162" s="55" t="s">
        <v>229</v>
      </c>
      <c r="F162" s="28" t="s">
        <v>241</v>
      </c>
      <c r="G162" s="537"/>
      <c r="H162" s="537"/>
      <c r="I162" s="537"/>
      <c r="J162" s="537"/>
      <c r="K162" s="537"/>
      <c r="L162" s="537"/>
      <c r="M162" s="537"/>
      <c r="N162" s="537"/>
      <c r="O162" s="537"/>
      <c r="P162" s="537"/>
      <c r="Q162" s="397"/>
      <c r="R162" s="82"/>
    </row>
    <row r="163" spans="2:18" hidden="1">
      <c r="B163" s="94" t="s">
        <v>533</v>
      </c>
      <c r="C163" s="56"/>
      <c r="D163" s="60"/>
      <c r="E163" s="49" t="s">
        <v>146</v>
      </c>
      <c r="F163" s="28" t="s">
        <v>207</v>
      </c>
      <c r="G163" s="93">
        <f t="shared" ref="G163:J163" si="123">IF(G162="",G161,G162)*G159</f>
        <v>0</v>
      </c>
      <c r="H163" s="93">
        <f t="shared" si="123"/>
        <v>0</v>
      </c>
      <c r="I163" s="93">
        <f t="shared" si="123"/>
        <v>0</v>
      </c>
      <c r="J163" s="93">
        <f t="shared" si="123"/>
        <v>0</v>
      </c>
      <c r="K163" s="93">
        <f t="shared" ref="K163:P163" si="124">IF(K162="",K161,K162)*K159</f>
        <v>0</v>
      </c>
      <c r="L163" s="93">
        <f t="shared" si="124"/>
        <v>0</v>
      </c>
      <c r="M163" s="93">
        <f t="shared" si="124"/>
        <v>0</v>
      </c>
      <c r="N163" s="93">
        <f t="shared" si="124"/>
        <v>0</v>
      </c>
      <c r="O163" s="93">
        <f t="shared" si="124"/>
        <v>0</v>
      </c>
      <c r="P163" s="93">
        <f t="shared" si="124"/>
        <v>0</v>
      </c>
      <c r="Q163" s="397"/>
      <c r="R163" s="82"/>
    </row>
    <row r="164" spans="2:18" ht="22.5" hidden="1">
      <c r="B164" s="94" t="s">
        <v>533</v>
      </c>
      <c r="C164" s="181" t="s">
        <v>818</v>
      </c>
      <c r="D164" s="60"/>
      <c r="E164" s="82" t="s">
        <v>819</v>
      </c>
      <c r="F164" s="28" t="s">
        <v>123</v>
      </c>
      <c r="G164" s="464" t="s">
        <v>879</v>
      </c>
      <c r="H164" s="464" t="s">
        <v>879</v>
      </c>
      <c r="I164" s="464" t="s">
        <v>879</v>
      </c>
      <c r="J164" s="464" t="s">
        <v>879</v>
      </c>
      <c r="K164" s="464" t="s">
        <v>879</v>
      </c>
      <c r="L164" s="464" t="s">
        <v>879</v>
      </c>
      <c r="M164" s="464" t="s">
        <v>879</v>
      </c>
      <c r="N164" s="464" t="s">
        <v>879</v>
      </c>
      <c r="O164" s="464" t="s">
        <v>879</v>
      </c>
      <c r="P164" s="464" t="s">
        <v>879</v>
      </c>
      <c r="Q164" s="397"/>
      <c r="R164" s="82"/>
    </row>
    <row r="165" spans="2:18" hidden="1">
      <c r="B165" s="94" t="s">
        <v>533</v>
      </c>
      <c r="C165" s="52"/>
      <c r="D165" s="60"/>
      <c r="E165" s="49" t="s">
        <v>227</v>
      </c>
      <c r="F165" s="28" t="s">
        <v>329</v>
      </c>
      <c r="G165" s="54">
        <f t="shared" ref="G165:J165" si="125">IF(G156=0,0,_xlfn.XLOOKUP(G164,Dozer_shape_doze_for_drainage_names_CS,Dozer_shape_doze_for_drainage_rates_CS))</f>
        <v>14160</v>
      </c>
      <c r="H165" s="54">
        <f t="shared" si="125"/>
        <v>14160</v>
      </c>
      <c r="I165" s="54">
        <f t="shared" si="125"/>
        <v>14160</v>
      </c>
      <c r="J165" s="54">
        <f t="shared" si="125"/>
        <v>14160</v>
      </c>
      <c r="K165" s="54">
        <f t="shared" ref="K165:P165" si="126">IF(K156=0,0,_xlfn.XLOOKUP(K164,Dozer_shape_doze_for_drainage_names_CS,Dozer_shape_doze_for_drainage_rates_CS))</f>
        <v>0</v>
      </c>
      <c r="L165" s="54">
        <f t="shared" si="126"/>
        <v>14160</v>
      </c>
      <c r="M165" s="54">
        <f t="shared" si="126"/>
        <v>14160</v>
      </c>
      <c r="N165" s="54">
        <f t="shared" si="126"/>
        <v>14160</v>
      </c>
      <c r="O165" s="54">
        <f t="shared" si="126"/>
        <v>14160</v>
      </c>
      <c r="P165" s="54">
        <f t="shared" si="126"/>
        <v>14160</v>
      </c>
      <c r="Q165" s="397"/>
      <c r="R165" s="44"/>
    </row>
    <row r="166" spans="2:18" hidden="1">
      <c r="B166" s="94" t="s">
        <v>533</v>
      </c>
      <c r="C166" s="52"/>
      <c r="D166" s="60"/>
      <c r="E166" s="55" t="s">
        <v>229</v>
      </c>
      <c r="F166" s="28" t="s">
        <v>329</v>
      </c>
      <c r="G166" s="537"/>
      <c r="H166" s="537"/>
      <c r="I166" s="537"/>
      <c r="J166" s="537"/>
      <c r="K166" s="537"/>
      <c r="L166" s="537"/>
      <c r="M166" s="537"/>
      <c r="N166" s="537"/>
      <c r="O166" s="537"/>
      <c r="P166" s="537"/>
      <c r="Q166" s="397"/>
      <c r="R166" s="82"/>
    </row>
    <row r="167" spans="2:18" hidden="1">
      <c r="B167" s="94" t="s">
        <v>533</v>
      </c>
      <c r="C167" s="56"/>
      <c r="D167" s="45"/>
      <c r="E167" s="49" t="s">
        <v>146</v>
      </c>
      <c r="F167" s="28" t="s">
        <v>207</v>
      </c>
      <c r="G167" s="117">
        <f t="shared" ref="G167:J167" si="127">IF(G166="",G165,G166)*G155</f>
        <v>0</v>
      </c>
      <c r="H167" s="117">
        <f t="shared" si="127"/>
        <v>0</v>
      </c>
      <c r="I167" s="117">
        <f t="shared" si="127"/>
        <v>0</v>
      </c>
      <c r="J167" s="117">
        <f t="shared" si="127"/>
        <v>0</v>
      </c>
      <c r="K167" s="117">
        <f t="shared" ref="K167:P167" si="128">IF(K166="",K165,K166)*K155</f>
        <v>0</v>
      </c>
      <c r="L167" s="117">
        <f t="shared" si="128"/>
        <v>0</v>
      </c>
      <c r="M167" s="117">
        <f t="shared" si="128"/>
        <v>0</v>
      </c>
      <c r="N167" s="117">
        <f t="shared" si="128"/>
        <v>0</v>
      </c>
      <c r="O167" s="117">
        <f t="shared" si="128"/>
        <v>0</v>
      </c>
      <c r="P167" s="117">
        <f t="shared" si="128"/>
        <v>0</v>
      </c>
      <c r="Q167" s="397"/>
      <c r="R167" s="82"/>
    </row>
    <row r="168" spans="2:18" hidden="1">
      <c r="B168" s="94" t="s">
        <v>533</v>
      </c>
      <c r="C168" s="158"/>
      <c r="D168" s="66"/>
      <c r="E168" s="67" t="str">
        <f>C153</f>
        <v>Place top rock cover</v>
      </c>
      <c r="F168" s="72"/>
      <c r="G168" s="83">
        <f t="shared" ref="G168:J168" si="129">G163+G167</f>
        <v>0</v>
      </c>
      <c r="H168" s="83">
        <f t="shared" si="129"/>
        <v>0</v>
      </c>
      <c r="I168" s="83">
        <f t="shared" si="129"/>
        <v>0</v>
      </c>
      <c r="J168" s="83">
        <f t="shared" si="129"/>
        <v>0</v>
      </c>
      <c r="K168" s="83">
        <f t="shared" ref="K168:P168" si="130">K163+K167</f>
        <v>0</v>
      </c>
      <c r="L168" s="83">
        <f t="shared" si="130"/>
        <v>0</v>
      </c>
      <c r="M168" s="83">
        <f t="shared" si="130"/>
        <v>0</v>
      </c>
      <c r="N168" s="83">
        <f t="shared" si="130"/>
        <v>0</v>
      </c>
      <c r="O168" s="83">
        <f t="shared" si="130"/>
        <v>0</v>
      </c>
      <c r="P168" s="83">
        <f t="shared" si="130"/>
        <v>0</v>
      </c>
      <c r="Q168" s="397"/>
      <c r="R168" s="82"/>
    </row>
    <row r="169" spans="2:18" hidden="1">
      <c r="B169" s="94" t="s">
        <v>533</v>
      </c>
      <c r="C169" s="187" t="s">
        <v>821</v>
      </c>
      <c r="D169" s="192" t="s">
        <v>880</v>
      </c>
      <c r="E169" s="49" t="s">
        <v>623</v>
      </c>
      <c r="F169" s="28" t="s">
        <v>299</v>
      </c>
      <c r="G169" s="70">
        <f t="shared" ref="G169:P169" si="131">G$39-G$40</f>
        <v>0</v>
      </c>
      <c r="H169" s="70">
        <f t="shared" si="131"/>
        <v>0</v>
      </c>
      <c r="I169" s="70">
        <f t="shared" si="131"/>
        <v>0</v>
      </c>
      <c r="J169" s="70">
        <f t="shared" si="131"/>
        <v>0</v>
      </c>
      <c r="K169" s="70">
        <f t="shared" si="131"/>
        <v>0</v>
      </c>
      <c r="L169" s="70">
        <f t="shared" si="131"/>
        <v>0</v>
      </c>
      <c r="M169" s="70">
        <f t="shared" si="131"/>
        <v>0</v>
      </c>
      <c r="N169" s="70">
        <f t="shared" si="131"/>
        <v>0</v>
      </c>
      <c r="O169" s="70">
        <f t="shared" si="131"/>
        <v>0</v>
      </c>
      <c r="P169" s="70">
        <f t="shared" si="131"/>
        <v>0</v>
      </c>
      <c r="Q169" s="397"/>
      <c r="R169" s="44"/>
    </row>
    <row r="170" spans="2:18" hidden="1">
      <c r="B170" s="94" t="s">
        <v>533</v>
      </c>
      <c r="C170" s="183"/>
      <c r="D170" s="194"/>
      <c r="E170" s="49" t="s">
        <v>624</v>
      </c>
      <c r="F170" s="28" t="s">
        <v>299</v>
      </c>
      <c r="G170" s="532">
        <v>0</v>
      </c>
      <c r="H170" s="532">
        <v>0</v>
      </c>
      <c r="I170" s="532">
        <v>0</v>
      </c>
      <c r="J170" s="532">
        <v>0</v>
      </c>
      <c r="K170" s="532">
        <v>0</v>
      </c>
      <c r="L170" s="532">
        <v>0</v>
      </c>
      <c r="M170" s="532">
        <v>0</v>
      </c>
      <c r="N170" s="532">
        <v>0</v>
      </c>
      <c r="O170" s="532">
        <v>0</v>
      </c>
      <c r="P170" s="532">
        <v>0</v>
      </c>
      <c r="Q170" s="397"/>
      <c r="R170" s="82"/>
    </row>
    <row r="171" spans="2:18" hidden="1">
      <c r="B171" s="94" t="s">
        <v>533</v>
      </c>
      <c r="C171" s="183"/>
      <c r="D171" s="194"/>
      <c r="E171" s="49" t="s">
        <v>625</v>
      </c>
      <c r="F171" s="28" t="s">
        <v>299</v>
      </c>
      <c r="G171" s="70">
        <f t="shared" ref="G171" si="132">IF(G170="",G169,G170)</f>
        <v>0</v>
      </c>
      <c r="H171" s="70">
        <f t="shared" ref="H171:J171" si="133">IF(H170="",H169,H170)</f>
        <v>0</v>
      </c>
      <c r="I171" s="70">
        <f t="shared" si="133"/>
        <v>0</v>
      </c>
      <c r="J171" s="70">
        <f t="shared" si="133"/>
        <v>0</v>
      </c>
      <c r="K171" s="70">
        <f t="shared" ref="K171:P171" si="134">IF(K170="",K169,K170)</f>
        <v>0</v>
      </c>
      <c r="L171" s="70">
        <f t="shared" si="134"/>
        <v>0</v>
      </c>
      <c r="M171" s="70">
        <f t="shared" si="134"/>
        <v>0</v>
      </c>
      <c r="N171" s="70">
        <f t="shared" si="134"/>
        <v>0</v>
      </c>
      <c r="O171" s="70">
        <f t="shared" si="134"/>
        <v>0</v>
      </c>
      <c r="P171" s="70">
        <f t="shared" si="134"/>
        <v>0</v>
      </c>
      <c r="Q171" s="397"/>
      <c r="R171" s="44"/>
    </row>
    <row r="172" spans="2:18" hidden="1">
      <c r="B172" s="94" t="s">
        <v>533</v>
      </c>
      <c r="C172" s="183"/>
      <c r="D172" s="194"/>
      <c r="E172" s="49" t="s">
        <v>227</v>
      </c>
      <c r="F172" s="28" t="s">
        <v>329</v>
      </c>
      <c r="G172" s="54">
        <f t="shared" ref="G172:P172" si="135">Geotextile_buy_install_CS</f>
        <v>25335</v>
      </c>
      <c r="H172" s="54">
        <f t="shared" si="135"/>
        <v>25335</v>
      </c>
      <c r="I172" s="54">
        <f t="shared" si="135"/>
        <v>25335</v>
      </c>
      <c r="J172" s="54">
        <f t="shared" si="135"/>
        <v>25335</v>
      </c>
      <c r="K172" s="54">
        <f t="shared" si="135"/>
        <v>25335</v>
      </c>
      <c r="L172" s="54">
        <f t="shared" si="135"/>
        <v>25335</v>
      </c>
      <c r="M172" s="54">
        <f t="shared" si="135"/>
        <v>25335</v>
      </c>
      <c r="N172" s="54">
        <f t="shared" si="135"/>
        <v>25335</v>
      </c>
      <c r="O172" s="54">
        <f t="shared" si="135"/>
        <v>25335</v>
      </c>
      <c r="P172" s="54">
        <f t="shared" si="135"/>
        <v>25335</v>
      </c>
      <c r="Q172" s="397"/>
      <c r="R172" s="44"/>
    </row>
    <row r="173" spans="2:18" hidden="1">
      <c r="B173" s="94" t="s">
        <v>533</v>
      </c>
      <c r="C173" s="183"/>
      <c r="D173" s="194"/>
      <c r="E173" s="55" t="s">
        <v>229</v>
      </c>
      <c r="F173" s="28" t="s">
        <v>329</v>
      </c>
      <c r="G173" s="537"/>
      <c r="H173" s="537"/>
      <c r="I173" s="537"/>
      <c r="J173" s="537"/>
      <c r="K173" s="537"/>
      <c r="L173" s="537"/>
      <c r="M173" s="537"/>
      <c r="N173" s="537"/>
      <c r="O173" s="537"/>
      <c r="P173" s="537"/>
      <c r="Q173" s="397"/>
      <c r="R173" s="82"/>
    </row>
    <row r="174" spans="2:18" hidden="1">
      <c r="B174" s="94" t="s">
        <v>533</v>
      </c>
      <c r="C174" s="183"/>
      <c r="D174" s="196"/>
      <c r="E174" s="49" t="s">
        <v>146</v>
      </c>
      <c r="F174" s="28" t="s">
        <v>207</v>
      </c>
      <c r="G174" s="124">
        <f t="shared" ref="G174" si="136">IF(G173="",G172,G173)*G171</f>
        <v>0</v>
      </c>
      <c r="H174" s="124">
        <f t="shared" ref="H174:J174" si="137">IF(H173="",H172,H173)*H171</f>
        <v>0</v>
      </c>
      <c r="I174" s="124">
        <f t="shared" si="137"/>
        <v>0</v>
      </c>
      <c r="J174" s="124">
        <f t="shared" si="137"/>
        <v>0</v>
      </c>
      <c r="K174" s="124">
        <f t="shared" ref="K174:P174" si="138">IF(K173="",K172,K173)*K171</f>
        <v>0</v>
      </c>
      <c r="L174" s="124">
        <f t="shared" si="138"/>
        <v>0</v>
      </c>
      <c r="M174" s="124">
        <f t="shared" si="138"/>
        <v>0</v>
      </c>
      <c r="N174" s="124">
        <f t="shared" si="138"/>
        <v>0</v>
      </c>
      <c r="O174" s="124">
        <f t="shared" si="138"/>
        <v>0</v>
      </c>
      <c r="P174" s="124">
        <f t="shared" si="138"/>
        <v>0</v>
      </c>
      <c r="Q174" s="397"/>
      <c r="R174" s="82"/>
    </row>
    <row r="175" spans="2:18" hidden="1">
      <c r="B175" s="94" t="s">
        <v>533</v>
      </c>
      <c r="C175" s="183"/>
      <c r="D175" s="192" t="s">
        <v>823</v>
      </c>
      <c r="E175" s="49" t="s">
        <v>623</v>
      </c>
      <c r="F175" s="28" t="s">
        <v>299</v>
      </c>
      <c r="G175" s="70">
        <f t="shared" ref="G175:P175" si="139">G$39-G$40</f>
        <v>0</v>
      </c>
      <c r="H175" s="70">
        <f t="shared" si="139"/>
        <v>0</v>
      </c>
      <c r="I175" s="70">
        <f t="shared" si="139"/>
        <v>0</v>
      </c>
      <c r="J175" s="70">
        <f t="shared" si="139"/>
        <v>0</v>
      </c>
      <c r="K175" s="70">
        <f t="shared" si="139"/>
        <v>0</v>
      </c>
      <c r="L175" s="70">
        <f t="shared" si="139"/>
        <v>0</v>
      </c>
      <c r="M175" s="70">
        <f t="shared" si="139"/>
        <v>0</v>
      </c>
      <c r="N175" s="70">
        <f t="shared" si="139"/>
        <v>0</v>
      </c>
      <c r="O175" s="70">
        <f t="shared" si="139"/>
        <v>0</v>
      </c>
      <c r="P175" s="70">
        <f t="shared" si="139"/>
        <v>0</v>
      </c>
      <c r="Q175" s="397"/>
      <c r="R175" s="44"/>
    </row>
    <row r="176" spans="2:18" hidden="1">
      <c r="B176" s="94" t="s">
        <v>533</v>
      </c>
      <c r="C176" s="183"/>
      <c r="D176" s="194"/>
      <c r="E176" s="49" t="s">
        <v>624</v>
      </c>
      <c r="F176" s="28" t="s">
        <v>299</v>
      </c>
      <c r="G176" s="532">
        <v>0</v>
      </c>
      <c r="H176" s="532">
        <v>0</v>
      </c>
      <c r="I176" s="532">
        <v>0</v>
      </c>
      <c r="J176" s="532">
        <v>0</v>
      </c>
      <c r="K176" s="532">
        <v>0</v>
      </c>
      <c r="L176" s="532">
        <v>0</v>
      </c>
      <c r="M176" s="532">
        <v>0</v>
      </c>
      <c r="N176" s="532">
        <v>0</v>
      </c>
      <c r="O176" s="532">
        <v>0</v>
      </c>
      <c r="P176" s="532">
        <v>0</v>
      </c>
      <c r="Q176" s="397"/>
      <c r="R176" s="82"/>
    </row>
    <row r="177" spans="2:18" hidden="1">
      <c r="B177" s="94" t="s">
        <v>533</v>
      </c>
      <c r="C177" s="183"/>
      <c r="D177" s="194"/>
      <c r="E177" s="49" t="s">
        <v>625</v>
      </c>
      <c r="F177" s="28" t="s">
        <v>299</v>
      </c>
      <c r="G177" s="70">
        <f t="shared" ref="G177" si="140">IF(G176="",G175,G176)</f>
        <v>0</v>
      </c>
      <c r="H177" s="70">
        <f t="shared" ref="H177:J177" si="141">IF(H176="",H175,H176)</f>
        <v>0</v>
      </c>
      <c r="I177" s="70">
        <f t="shared" si="141"/>
        <v>0</v>
      </c>
      <c r="J177" s="70">
        <f t="shared" si="141"/>
        <v>0</v>
      </c>
      <c r="K177" s="70">
        <f t="shared" ref="K177:P177" si="142">IF(K176="",K175,K176)</f>
        <v>0</v>
      </c>
      <c r="L177" s="70">
        <f t="shared" si="142"/>
        <v>0</v>
      </c>
      <c r="M177" s="70">
        <f t="shared" si="142"/>
        <v>0</v>
      </c>
      <c r="N177" s="70">
        <f t="shared" si="142"/>
        <v>0</v>
      </c>
      <c r="O177" s="70">
        <f t="shared" si="142"/>
        <v>0</v>
      </c>
      <c r="P177" s="70">
        <f t="shared" si="142"/>
        <v>0</v>
      </c>
      <c r="Q177" s="397"/>
      <c r="R177" s="44"/>
    </row>
    <row r="178" spans="2:18" hidden="1">
      <c r="B178" s="94" t="s">
        <v>533</v>
      </c>
      <c r="C178" s="183"/>
      <c r="D178" s="194"/>
      <c r="E178" s="49" t="s">
        <v>227</v>
      </c>
      <c r="F178" s="28" t="s">
        <v>329</v>
      </c>
      <c r="G178" s="54">
        <f t="shared" ref="G178:P178" si="143">Geosynthetic_buy_install_CS</f>
        <v>264610</v>
      </c>
      <c r="H178" s="54">
        <f t="shared" si="143"/>
        <v>264610</v>
      </c>
      <c r="I178" s="54">
        <f t="shared" si="143"/>
        <v>264610</v>
      </c>
      <c r="J178" s="54">
        <f t="shared" si="143"/>
        <v>264610</v>
      </c>
      <c r="K178" s="54">
        <f t="shared" si="143"/>
        <v>264610</v>
      </c>
      <c r="L178" s="54">
        <f t="shared" si="143"/>
        <v>264610</v>
      </c>
      <c r="M178" s="54">
        <f t="shared" si="143"/>
        <v>264610</v>
      </c>
      <c r="N178" s="54">
        <f t="shared" si="143"/>
        <v>264610</v>
      </c>
      <c r="O178" s="54">
        <f t="shared" si="143"/>
        <v>264610</v>
      </c>
      <c r="P178" s="54">
        <f t="shared" si="143"/>
        <v>264610</v>
      </c>
      <c r="Q178" s="397"/>
      <c r="R178" s="44"/>
    </row>
    <row r="179" spans="2:18" hidden="1">
      <c r="B179" s="94" t="s">
        <v>533</v>
      </c>
      <c r="C179" s="183"/>
      <c r="D179" s="194"/>
      <c r="E179" s="55" t="s">
        <v>229</v>
      </c>
      <c r="F179" s="28" t="s">
        <v>329</v>
      </c>
      <c r="G179" s="537"/>
      <c r="H179" s="537"/>
      <c r="I179" s="537"/>
      <c r="J179" s="537"/>
      <c r="K179" s="537"/>
      <c r="L179" s="537"/>
      <c r="M179" s="537"/>
      <c r="N179" s="537"/>
      <c r="O179" s="537"/>
      <c r="P179" s="537"/>
      <c r="Q179" s="397"/>
      <c r="R179" s="82"/>
    </row>
    <row r="180" spans="2:18" hidden="1">
      <c r="B180" s="94" t="s">
        <v>533</v>
      </c>
      <c r="C180" s="183"/>
      <c r="D180" s="196"/>
      <c r="E180" s="49" t="s">
        <v>146</v>
      </c>
      <c r="F180" s="28" t="s">
        <v>207</v>
      </c>
      <c r="G180" s="124">
        <f t="shared" ref="G180" si="144">IF(G179="",G178,G179)*G177</f>
        <v>0</v>
      </c>
      <c r="H180" s="124">
        <f t="shared" ref="H180:J180" si="145">IF(H179="",H178,H179)*H177</f>
        <v>0</v>
      </c>
      <c r="I180" s="124">
        <f t="shared" si="145"/>
        <v>0</v>
      </c>
      <c r="J180" s="124">
        <f t="shared" si="145"/>
        <v>0</v>
      </c>
      <c r="K180" s="124">
        <f t="shared" ref="K180:P180" si="146">IF(K179="",K178,K179)*K177</f>
        <v>0</v>
      </c>
      <c r="L180" s="124">
        <f t="shared" si="146"/>
        <v>0</v>
      </c>
      <c r="M180" s="124">
        <f t="shared" si="146"/>
        <v>0</v>
      </c>
      <c r="N180" s="124">
        <f t="shared" si="146"/>
        <v>0</v>
      </c>
      <c r="O180" s="124">
        <f t="shared" si="146"/>
        <v>0</v>
      </c>
      <c r="P180" s="124">
        <f t="shared" si="146"/>
        <v>0</v>
      </c>
      <c r="Q180" s="397"/>
      <c r="R180" s="82"/>
    </row>
    <row r="181" spans="2:18" hidden="1">
      <c r="B181" s="94" t="s">
        <v>533</v>
      </c>
      <c r="C181" s="183"/>
      <c r="D181" s="192" t="s">
        <v>824</v>
      </c>
      <c r="E181" s="49" t="s">
        <v>623</v>
      </c>
      <c r="F181" s="28" t="s">
        <v>299</v>
      </c>
      <c r="G181" s="70">
        <f t="shared" ref="G181:P181" si="147">G$39-G$40</f>
        <v>0</v>
      </c>
      <c r="H181" s="70">
        <f t="shared" si="147"/>
        <v>0</v>
      </c>
      <c r="I181" s="70">
        <f t="shared" si="147"/>
        <v>0</v>
      </c>
      <c r="J181" s="70">
        <f t="shared" si="147"/>
        <v>0</v>
      </c>
      <c r="K181" s="70">
        <f t="shared" si="147"/>
        <v>0</v>
      </c>
      <c r="L181" s="70">
        <f t="shared" si="147"/>
        <v>0</v>
      </c>
      <c r="M181" s="70">
        <f t="shared" si="147"/>
        <v>0</v>
      </c>
      <c r="N181" s="70">
        <f t="shared" si="147"/>
        <v>0</v>
      </c>
      <c r="O181" s="70">
        <f t="shared" si="147"/>
        <v>0</v>
      </c>
      <c r="P181" s="70">
        <f t="shared" si="147"/>
        <v>0</v>
      </c>
      <c r="Q181" s="397"/>
      <c r="R181" s="44"/>
    </row>
    <row r="182" spans="2:18" hidden="1">
      <c r="B182" s="94" t="s">
        <v>533</v>
      </c>
      <c r="C182" s="183"/>
      <c r="D182" s="194"/>
      <c r="E182" s="49" t="s">
        <v>624</v>
      </c>
      <c r="F182" s="28" t="s">
        <v>299</v>
      </c>
      <c r="G182" s="532">
        <v>0</v>
      </c>
      <c r="H182" s="532">
        <v>0</v>
      </c>
      <c r="I182" s="532">
        <v>0</v>
      </c>
      <c r="J182" s="532">
        <v>0</v>
      </c>
      <c r="K182" s="532">
        <v>0</v>
      </c>
      <c r="L182" s="532">
        <v>0</v>
      </c>
      <c r="M182" s="532">
        <v>0</v>
      </c>
      <c r="N182" s="532">
        <v>0</v>
      </c>
      <c r="O182" s="532">
        <v>0</v>
      </c>
      <c r="P182" s="532">
        <v>0</v>
      </c>
      <c r="Q182" s="397"/>
      <c r="R182" s="82"/>
    </row>
    <row r="183" spans="2:18" hidden="1">
      <c r="B183" s="94" t="s">
        <v>533</v>
      </c>
      <c r="C183" s="183"/>
      <c r="D183" s="194"/>
      <c r="E183" s="49" t="s">
        <v>625</v>
      </c>
      <c r="F183" s="28" t="s">
        <v>299</v>
      </c>
      <c r="G183" s="70">
        <f t="shared" ref="G183" si="148">IF(G182="",G181,G182)</f>
        <v>0</v>
      </c>
      <c r="H183" s="70">
        <f t="shared" ref="H183:J183" si="149">IF(H182="",H181,H182)</f>
        <v>0</v>
      </c>
      <c r="I183" s="70">
        <f t="shared" si="149"/>
        <v>0</v>
      </c>
      <c r="J183" s="70">
        <f t="shared" si="149"/>
        <v>0</v>
      </c>
      <c r="K183" s="70">
        <f t="shared" ref="K183:P183" si="150">IF(K182="",K181,K182)</f>
        <v>0</v>
      </c>
      <c r="L183" s="70">
        <f t="shared" si="150"/>
        <v>0</v>
      </c>
      <c r="M183" s="70">
        <f t="shared" si="150"/>
        <v>0</v>
      </c>
      <c r="N183" s="70">
        <f t="shared" si="150"/>
        <v>0</v>
      </c>
      <c r="O183" s="70">
        <f t="shared" si="150"/>
        <v>0</v>
      </c>
      <c r="P183" s="70">
        <f t="shared" si="150"/>
        <v>0</v>
      </c>
      <c r="Q183" s="397"/>
      <c r="R183" s="44"/>
    </row>
    <row r="184" spans="2:18" hidden="1">
      <c r="B184" s="94" t="s">
        <v>533</v>
      </c>
      <c r="C184" s="183"/>
      <c r="D184" s="194"/>
      <c r="E184" s="49" t="s">
        <v>227</v>
      </c>
      <c r="F184" s="28" t="s">
        <v>329</v>
      </c>
      <c r="G184" s="54">
        <f t="shared" ref="G184:P184" si="151">Geomembrane_buy_install_CS</f>
        <v>1277871.2549530484</v>
      </c>
      <c r="H184" s="54">
        <f t="shared" si="151"/>
        <v>1277871.2549530484</v>
      </c>
      <c r="I184" s="54">
        <f t="shared" si="151"/>
        <v>1277871.2549530484</v>
      </c>
      <c r="J184" s="54">
        <f t="shared" si="151"/>
        <v>1277871.2549530484</v>
      </c>
      <c r="K184" s="54">
        <f t="shared" si="151"/>
        <v>1277871.2549530484</v>
      </c>
      <c r="L184" s="54">
        <f t="shared" si="151"/>
        <v>1277871.2549530484</v>
      </c>
      <c r="M184" s="54">
        <f t="shared" si="151"/>
        <v>1277871.2549530484</v>
      </c>
      <c r="N184" s="54">
        <f t="shared" si="151"/>
        <v>1277871.2549530484</v>
      </c>
      <c r="O184" s="54">
        <f t="shared" si="151"/>
        <v>1277871.2549530484</v>
      </c>
      <c r="P184" s="54">
        <f t="shared" si="151"/>
        <v>1277871.2549530484</v>
      </c>
      <c r="Q184" s="397"/>
      <c r="R184" s="44"/>
    </row>
    <row r="185" spans="2:18" hidden="1">
      <c r="B185" s="94" t="s">
        <v>533</v>
      </c>
      <c r="C185" s="183"/>
      <c r="D185" s="194"/>
      <c r="E185" s="55" t="s">
        <v>229</v>
      </c>
      <c r="F185" s="28" t="s">
        <v>329</v>
      </c>
      <c r="G185" s="537"/>
      <c r="H185" s="537"/>
      <c r="I185" s="537"/>
      <c r="J185" s="537"/>
      <c r="K185" s="537"/>
      <c r="L185" s="537"/>
      <c r="M185" s="537"/>
      <c r="N185" s="537"/>
      <c r="O185" s="537"/>
      <c r="P185" s="537"/>
      <c r="Q185" s="397"/>
      <c r="R185" s="82"/>
    </row>
    <row r="186" spans="2:18" hidden="1">
      <c r="B186" s="94" t="s">
        <v>533</v>
      </c>
      <c r="C186" s="185"/>
      <c r="D186" s="196"/>
      <c r="E186" s="49" t="s">
        <v>146</v>
      </c>
      <c r="F186" s="28" t="s">
        <v>207</v>
      </c>
      <c r="G186" s="124">
        <f t="shared" ref="G186" si="152">IF(G185="",G184,G185)*G183</f>
        <v>0</v>
      </c>
      <c r="H186" s="124">
        <f t="shared" ref="H186:J186" si="153">IF(H185="",H184,H185)*H183</f>
        <v>0</v>
      </c>
      <c r="I186" s="124">
        <f t="shared" si="153"/>
        <v>0</v>
      </c>
      <c r="J186" s="124">
        <f t="shared" si="153"/>
        <v>0</v>
      </c>
      <c r="K186" s="124">
        <f t="shared" ref="K186:P186" si="154">IF(K185="",K184,K185)*K183</f>
        <v>0</v>
      </c>
      <c r="L186" s="124">
        <f t="shared" si="154"/>
        <v>0</v>
      </c>
      <c r="M186" s="124">
        <f t="shared" si="154"/>
        <v>0</v>
      </c>
      <c r="N186" s="124">
        <f t="shared" si="154"/>
        <v>0</v>
      </c>
      <c r="O186" s="124">
        <f t="shared" si="154"/>
        <v>0</v>
      </c>
      <c r="P186" s="124">
        <f t="shared" si="154"/>
        <v>0</v>
      </c>
      <c r="Q186" s="397"/>
      <c r="R186" s="82"/>
    </row>
    <row r="187" spans="2:18" hidden="1">
      <c r="B187" s="94" t="s">
        <v>533</v>
      </c>
      <c r="C187" s="50" t="s">
        <v>541</v>
      </c>
      <c r="D187" s="59" t="s">
        <v>881</v>
      </c>
      <c r="E187" s="49" t="s">
        <v>214</v>
      </c>
      <c r="F187" s="28" t="s">
        <v>299</v>
      </c>
      <c r="G187" s="411"/>
      <c r="H187" s="411"/>
      <c r="I187" s="411"/>
      <c r="J187" s="411"/>
      <c r="K187" s="411"/>
      <c r="L187" s="411"/>
      <c r="M187" s="411"/>
      <c r="N187" s="411"/>
      <c r="O187" s="411"/>
      <c r="P187" s="411"/>
      <c r="Q187" s="397"/>
      <c r="R187" s="206"/>
    </row>
    <row r="188" spans="2:18" hidden="1">
      <c r="B188" s="94" t="s">
        <v>533</v>
      </c>
      <c r="C188" s="52"/>
      <c r="D188" s="60"/>
      <c r="E188" s="47" t="s">
        <v>245</v>
      </c>
      <c r="F188" s="28" t="s">
        <v>211</v>
      </c>
      <c r="G188" s="411"/>
      <c r="H188" s="411"/>
      <c r="I188" s="411"/>
      <c r="J188" s="411"/>
      <c r="K188" s="411"/>
      <c r="L188" s="411"/>
      <c r="M188" s="411"/>
      <c r="N188" s="411"/>
      <c r="O188" s="411"/>
      <c r="P188" s="411"/>
      <c r="Q188" s="397"/>
      <c r="R188" s="44"/>
    </row>
    <row r="189" spans="2:18" hidden="1">
      <c r="B189" s="94" t="s">
        <v>533</v>
      </c>
      <c r="C189" s="52"/>
      <c r="D189" s="60"/>
      <c r="E189" s="49" t="s">
        <v>307</v>
      </c>
      <c r="F189" s="28" t="s">
        <v>219</v>
      </c>
      <c r="G189" s="58">
        <f t="shared" ref="G189:P189" si="155">G187*Conv_sqm_ha*G188</f>
        <v>0</v>
      </c>
      <c r="H189" s="58">
        <f t="shared" si="155"/>
        <v>0</v>
      </c>
      <c r="I189" s="58">
        <f t="shared" si="155"/>
        <v>0</v>
      </c>
      <c r="J189" s="58">
        <f t="shared" si="155"/>
        <v>0</v>
      </c>
      <c r="K189" s="58">
        <f t="shared" si="155"/>
        <v>0</v>
      </c>
      <c r="L189" s="58">
        <f t="shared" si="155"/>
        <v>0</v>
      </c>
      <c r="M189" s="58">
        <f t="shared" si="155"/>
        <v>0</v>
      </c>
      <c r="N189" s="58">
        <f t="shared" si="155"/>
        <v>0</v>
      </c>
      <c r="O189" s="58">
        <f t="shared" si="155"/>
        <v>0</v>
      </c>
      <c r="P189" s="58">
        <f t="shared" si="155"/>
        <v>0</v>
      </c>
      <c r="Q189" s="397"/>
      <c r="R189" s="44"/>
    </row>
    <row r="190" spans="2:18" ht="33.75" hidden="1">
      <c r="B190" s="94" t="s">
        <v>533</v>
      </c>
      <c r="C190" s="52"/>
      <c r="D190" s="60"/>
      <c r="E190" s="82" t="s">
        <v>762</v>
      </c>
      <c r="F190" s="28" t="s">
        <v>123</v>
      </c>
      <c r="G190" s="464" t="s">
        <v>817</v>
      </c>
      <c r="H190" s="464" t="s">
        <v>817</v>
      </c>
      <c r="I190" s="464" t="s">
        <v>817</v>
      </c>
      <c r="J190" s="464" t="s">
        <v>817</v>
      </c>
      <c r="K190" s="464" t="s">
        <v>817</v>
      </c>
      <c r="L190" s="464" t="s">
        <v>817</v>
      </c>
      <c r="M190" s="464" t="s">
        <v>817</v>
      </c>
      <c r="N190" s="464" t="s">
        <v>817</v>
      </c>
      <c r="O190" s="464" t="s">
        <v>882</v>
      </c>
      <c r="P190" s="464" t="s">
        <v>817</v>
      </c>
      <c r="Q190" s="397"/>
      <c r="R190" s="82"/>
    </row>
    <row r="191" spans="2:18" hidden="1">
      <c r="B191" s="94" t="s">
        <v>533</v>
      </c>
      <c r="C191" s="52"/>
      <c r="D191" s="60"/>
      <c r="E191" s="49" t="s">
        <v>227</v>
      </c>
      <c r="F191" s="28" t="s">
        <v>241</v>
      </c>
      <c r="G191" s="54">
        <f t="shared" ref="G191:P191" si="156">IF(G189=0,0,_xlfn.XLOOKUP(G190,Load_haul_stabilised_names_CS,Load_haul_stabilised_rates_CS))</f>
        <v>0</v>
      </c>
      <c r="H191" s="54">
        <f t="shared" si="156"/>
        <v>0</v>
      </c>
      <c r="I191" s="54">
        <f t="shared" si="156"/>
        <v>0</v>
      </c>
      <c r="J191" s="54">
        <f t="shared" si="156"/>
        <v>0</v>
      </c>
      <c r="K191" s="54">
        <f t="shared" si="156"/>
        <v>0</v>
      </c>
      <c r="L191" s="54">
        <f t="shared" si="156"/>
        <v>0</v>
      </c>
      <c r="M191" s="54">
        <f t="shared" si="156"/>
        <v>0</v>
      </c>
      <c r="N191" s="54">
        <f t="shared" si="156"/>
        <v>0</v>
      </c>
      <c r="O191" s="54">
        <f t="shared" si="156"/>
        <v>0</v>
      </c>
      <c r="P191" s="54">
        <f t="shared" si="156"/>
        <v>0</v>
      </c>
      <c r="Q191" s="397"/>
      <c r="R191" s="44"/>
    </row>
    <row r="192" spans="2:18" hidden="1">
      <c r="B192" s="94" t="s">
        <v>533</v>
      </c>
      <c r="C192" s="52"/>
      <c r="D192" s="60"/>
      <c r="E192" s="55" t="s">
        <v>229</v>
      </c>
      <c r="F192" s="28" t="s">
        <v>241</v>
      </c>
      <c r="G192" s="537"/>
      <c r="H192" s="537"/>
      <c r="I192" s="537"/>
      <c r="J192" s="537"/>
      <c r="K192" s="537"/>
      <c r="L192" s="537"/>
      <c r="M192" s="537"/>
      <c r="N192" s="537"/>
      <c r="O192" s="537"/>
      <c r="P192" s="537"/>
      <c r="Q192" s="397"/>
      <c r="R192" s="82"/>
    </row>
    <row r="193" spans="2:18" hidden="1">
      <c r="B193" s="94" t="s">
        <v>533</v>
      </c>
      <c r="C193" s="56"/>
      <c r="D193" s="60"/>
      <c r="E193" s="49" t="s">
        <v>146</v>
      </c>
      <c r="F193" s="28" t="s">
        <v>207</v>
      </c>
      <c r="G193" s="93">
        <f t="shared" ref="G193:P193" si="157">IF(G192="",G191,G192)*G189</f>
        <v>0</v>
      </c>
      <c r="H193" s="93">
        <f t="shared" si="157"/>
        <v>0</v>
      </c>
      <c r="I193" s="93">
        <f t="shared" si="157"/>
        <v>0</v>
      </c>
      <c r="J193" s="93">
        <f t="shared" si="157"/>
        <v>0</v>
      </c>
      <c r="K193" s="93">
        <f t="shared" si="157"/>
        <v>0</v>
      </c>
      <c r="L193" s="93">
        <f t="shared" si="157"/>
        <v>0</v>
      </c>
      <c r="M193" s="93">
        <f t="shared" si="157"/>
        <v>0</v>
      </c>
      <c r="N193" s="93">
        <f t="shared" si="157"/>
        <v>0</v>
      </c>
      <c r="O193" s="93">
        <f t="shared" si="157"/>
        <v>0</v>
      </c>
      <c r="P193" s="93">
        <f t="shared" si="157"/>
        <v>0</v>
      </c>
      <c r="Q193" s="397"/>
      <c r="R193" s="82"/>
    </row>
    <row r="194" spans="2:18" ht="33.75" hidden="1">
      <c r="B194" s="94" t="s">
        <v>533</v>
      </c>
      <c r="C194" s="181" t="s">
        <v>818</v>
      </c>
      <c r="D194" s="60"/>
      <c r="E194" s="82" t="s">
        <v>819</v>
      </c>
      <c r="F194" s="28" t="s">
        <v>299</v>
      </c>
      <c r="G194" s="464" t="s">
        <v>883</v>
      </c>
      <c r="H194" s="464" t="s">
        <v>879</v>
      </c>
      <c r="I194" s="464" t="s">
        <v>879</v>
      </c>
      <c r="J194" s="464" t="s">
        <v>879</v>
      </c>
      <c r="K194" s="464" t="s">
        <v>879</v>
      </c>
      <c r="L194" s="464" t="s">
        <v>879</v>
      </c>
      <c r="M194" s="464" t="s">
        <v>879</v>
      </c>
      <c r="N194" s="464" t="s">
        <v>879</v>
      </c>
      <c r="O194" s="464" t="s">
        <v>884</v>
      </c>
      <c r="P194" s="464" t="s">
        <v>879</v>
      </c>
      <c r="Q194" s="397"/>
      <c r="R194" s="82"/>
    </row>
    <row r="195" spans="2:18" hidden="1">
      <c r="B195" s="94" t="s">
        <v>533</v>
      </c>
      <c r="C195" s="52"/>
      <c r="D195" s="60"/>
      <c r="E195" s="49" t="s">
        <v>227</v>
      </c>
      <c r="F195" s="28" t="s">
        <v>329</v>
      </c>
      <c r="G195" s="54">
        <f t="shared" ref="G195:P195" si="158">IF(G187=0,0,_xlfn.XLOOKUP(G194,Dozer_shape_doze_for_drainage_names_CS,Dozer_shape_doze_for_drainage_rates_CS))</f>
        <v>0</v>
      </c>
      <c r="H195" s="54">
        <f t="shared" si="158"/>
        <v>0</v>
      </c>
      <c r="I195" s="54">
        <f t="shared" si="158"/>
        <v>0</v>
      </c>
      <c r="J195" s="54">
        <f t="shared" si="158"/>
        <v>0</v>
      </c>
      <c r="K195" s="54">
        <f t="shared" si="158"/>
        <v>0</v>
      </c>
      <c r="L195" s="54">
        <f t="shared" si="158"/>
        <v>0</v>
      </c>
      <c r="M195" s="54">
        <f t="shared" si="158"/>
        <v>0</v>
      </c>
      <c r="N195" s="54">
        <f t="shared" si="158"/>
        <v>0</v>
      </c>
      <c r="O195" s="54">
        <f t="shared" si="158"/>
        <v>0</v>
      </c>
      <c r="P195" s="54">
        <f t="shared" si="158"/>
        <v>0</v>
      </c>
      <c r="Q195" s="397"/>
      <c r="R195" s="44"/>
    </row>
    <row r="196" spans="2:18" hidden="1">
      <c r="B196" s="94" t="s">
        <v>533</v>
      </c>
      <c r="C196" s="52"/>
      <c r="D196" s="60"/>
      <c r="E196" s="55" t="s">
        <v>229</v>
      </c>
      <c r="F196" s="28" t="s">
        <v>329</v>
      </c>
      <c r="G196" s="537"/>
      <c r="H196" s="537"/>
      <c r="I196" s="537"/>
      <c r="J196" s="537"/>
      <c r="K196" s="537"/>
      <c r="L196" s="537"/>
      <c r="M196" s="537"/>
      <c r="N196" s="537"/>
      <c r="O196" s="537"/>
      <c r="P196" s="518"/>
      <c r="Q196" s="397"/>
      <c r="R196" s="82"/>
    </row>
    <row r="197" spans="2:18" hidden="1">
      <c r="B197" s="94" t="s">
        <v>533</v>
      </c>
      <c r="C197" s="56"/>
      <c r="D197" s="45"/>
      <c r="E197" s="49" t="s">
        <v>146</v>
      </c>
      <c r="F197" s="28" t="s">
        <v>207</v>
      </c>
      <c r="G197" s="93">
        <f t="shared" ref="G197:H197" si="159">IF(G196="",G195,G196)*G187</f>
        <v>0</v>
      </c>
      <c r="H197" s="93">
        <f t="shared" si="159"/>
        <v>0</v>
      </c>
      <c r="I197" s="93">
        <f>IF(I196="",I195,I196)*I187</f>
        <v>0</v>
      </c>
      <c r="J197" s="93">
        <f t="shared" ref="J197:P197" si="160">IF(J196="",J195,J196)*J187</f>
        <v>0</v>
      </c>
      <c r="K197" s="93">
        <f t="shared" si="160"/>
        <v>0</v>
      </c>
      <c r="L197" s="93">
        <f t="shared" si="160"/>
        <v>0</v>
      </c>
      <c r="M197" s="93">
        <f t="shared" si="160"/>
        <v>0</v>
      </c>
      <c r="N197" s="93">
        <f t="shared" si="160"/>
        <v>0</v>
      </c>
      <c r="O197" s="93">
        <f t="shared" si="160"/>
        <v>0</v>
      </c>
      <c r="P197" s="93">
        <f t="shared" si="160"/>
        <v>0</v>
      </c>
      <c r="Q197" s="397"/>
      <c r="R197" s="82"/>
    </row>
    <row r="198" spans="2:18" ht="12" hidden="1" thickBot="1">
      <c r="B198" s="94" t="s">
        <v>533</v>
      </c>
      <c r="C198" s="158"/>
      <c r="D198" s="66"/>
      <c r="E198" s="67" t="str">
        <f>C169</f>
        <v>Source and apply additional capping</v>
      </c>
      <c r="F198" s="72"/>
      <c r="G198" s="91">
        <f>G174+G180+G186+G193+G197</f>
        <v>0</v>
      </c>
      <c r="H198" s="91">
        <f t="shared" ref="H198:P198" si="161">H174+H180+H186+H193+H197</f>
        <v>0</v>
      </c>
      <c r="I198" s="91">
        <f t="shared" si="161"/>
        <v>0</v>
      </c>
      <c r="J198" s="91">
        <f t="shared" si="161"/>
        <v>0</v>
      </c>
      <c r="K198" s="91">
        <f t="shared" si="161"/>
        <v>0</v>
      </c>
      <c r="L198" s="91">
        <f t="shared" si="161"/>
        <v>0</v>
      </c>
      <c r="M198" s="91">
        <f t="shared" si="161"/>
        <v>0</v>
      </c>
      <c r="N198" s="91">
        <f t="shared" si="161"/>
        <v>0</v>
      </c>
      <c r="O198" s="91">
        <f t="shared" si="161"/>
        <v>0</v>
      </c>
      <c r="P198" s="91">
        <f t="shared" si="161"/>
        <v>0</v>
      </c>
      <c r="Q198" s="397"/>
      <c r="R198" s="82"/>
    </row>
    <row r="199" spans="2:18" hidden="1">
      <c r="B199" s="94" t="s">
        <v>533</v>
      </c>
      <c r="C199" s="187" t="s">
        <v>512</v>
      </c>
      <c r="D199" s="192" t="s">
        <v>513</v>
      </c>
      <c r="E199" s="49" t="s">
        <v>623</v>
      </c>
      <c r="F199" s="28" t="s">
        <v>299</v>
      </c>
      <c r="G199" s="70">
        <f t="shared" ref="G199:P199" si="162">G39*10%</f>
        <v>0</v>
      </c>
      <c r="H199" s="70">
        <f t="shared" si="162"/>
        <v>0</v>
      </c>
      <c r="I199" s="70">
        <f t="shared" si="162"/>
        <v>0</v>
      </c>
      <c r="J199" s="70">
        <f t="shared" si="162"/>
        <v>0</v>
      </c>
      <c r="K199" s="70">
        <f t="shared" si="162"/>
        <v>0</v>
      </c>
      <c r="L199" s="70">
        <f t="shared" si="162"/>
        <v>0</v>
      </c>
      <c r="M199" s="70">
        <f t="shared" si="162"/>
        <v>0</v>
      </c>
      <c r="N199" s="70">
        <f t="shared" si="162"/>
        <v>0</v>
      </c>
      <c r="O199" s="70">
        <f t="shared" si="162"/>
        <v>0</v>
      </c>
      <c r="P199" s="70">
        <f t="shared" si="162"/>
        <v>0</v>
      </c>
      <c r="Q199" s="397"/>
      <c r="R199" s="82"/>
    </row>
    <row r="200" spans="2:18" hidden="1">
      <c r="B200" s="94" t="s">
        <v>533</v>
      </c>
      <c r="C200" s="183"/>
      <c r="D200" s="194"/>
      <c r="E200" s="49" t="s">
        <v>624</v>
      </c>
      <c r="F200" s="28" t="s">
        <v>299</v>
      </c>
      <c r="G200" s="531"/>
      <c r="H200" s="531"/>
      <c r="I200" s="531"/>
      <c r="J200" s="531"/>
      <c r="K200" s="531"/>
      <c r="L200" s="531"/>
      <c r="M200" s="531"/>
      <c r="N200" s="531"/>
      <c r="O200" s="531"/>
      <c r="P200" s="531"/>
      <c r="Q200" s="397"/>
      <c r="R200" s="82"/>
    </row>
    <row r="201" spans="2:18" hidden="1">
      <c r="B201" s="94" t="s">
        <v>533</v>
      </c>
      <c r="C201" s="183"/>
      <c r="D201" s="194"/>
      <c r="E201" s="49" t="s">
        <v>625</v>
      </c>
      <c r="F201" s="28" t="s">
        <v>299</v>
      </c>
      <c r="G201" s="70">
        <f t="shared" ref="G201:J201" si="163">IF(G200="",G199,G200)</f>
        <v>0</v>
      </c>
      <c r="H201" s="70">
        <f t="shared" si="163"/>
        <v>0</v>
      </c>
      <c r="I201" s="70">
        <f t="shared" si="163"/>
        <v>0</v>
      </c>
      <c r="J201" s="70">
        <f t="shared" si="163"/>
        <v>0</v>
      </c>
      <c r="K201" s="70">
        <f t="shared" ref="K201" si="164">IF(K200="",K199,K200)</f>
        <v>0</v>
      </c>
      <c r="L201" s="70">
        <f t="shared" ref="L201:P201" si="165">IF(L200="",L199,L200)</f>
        <v>0</v>
      </c>
      <c r="M201" s="70">
        <f t="shared" si="165"/>
        <v>0</v>
      </c>
      <c r="N201" s="70">
        <f t="shared" si="165"/>
        <v>0</v>
      </c>
      <c r="O201" s="70">
        <f t="shared" si="165"/>
        <v>0</v>
      </c>
      <c r="P201" s="70">
        <f t="shared" si="165"/>
        <v>0</v>
      </c>
      <c r="Q201" s="397"/>
      <c r="R201" s="82"/>
    </row>
    <row r="202" spans="2:18" ht="123.75" hidden="1">
      <c r="B202" s="94" t="s">
        <v>533</v>
      </c>
      <c r="C202" s="183"/>
      <c r="D202" s="194"/>
      <c r="E202" s="49" t="s">
        <v>514</v>
      </c>
      <c r="F202" s="28" t="s">
        <v>123</v>
      </c>
      <c r="G202" s="461" t="s">
        <v>515</v>
      </c>
      <c r="H202" s="461" t="s">
        <v>516</v>
      </c>
      <c r="I202" s="461" t="s">
        <v>517</v>
      </c>
      <c r="J202" s="461" t="s">
        <v>518</v>
      </c>
      <c r="K202" s="461" t="s">
        <v>515</v>
      </c>
      <c r="L202" s="461" t="s">
        <v>519</v>
      </c>
      <c r="M202" s="461" t="s">
        <v>520</v>
      </c>
      <c r="N202" s="461" t="s">
        <v>521</v>
      </c>
      <c r="O202" s="461" t="s">
        <v>515</v>
      </c>
      <c r="P202" s="461" t="s">
        <v>515</v>
      </c>
      <c r="Q202" s="397"/>
      <c r="R202" s="82"/>
    </row>
    <row r="203" spans="2:18" hidden="1">
      <c r="B203" s="94" t="s">
        <v>533</v>
      </c>
      <c r="C203" s="183"/>
      <c r="D203" s="194"/>
      <c r="E203" s="49" t="s">
        <v>227</v>
      </c>
      <c r="F203" s="28" t="s">
        <v>329</v>
      </c>
      <c r="G203" s="54">
        <f t="shared" ref="G203:J203" si="166">_xlfn.XLOOKUP(G202,Drains_names_CS,Drains_rates_CS)</f>
        <v>17746.948711216752</v>
      </c>
      <c r="H203" s="54">
        <f t="shared" si="166"/>
        <v>20218.970183654852</v>
      </c>
      <c r="I203" s="54">
        <f t="shared" si="166"/>
        <v>22216.62782359769</v>
      </c>
      <c r="J203" s="54">
        <f t="shared" si="166"/>
        <v>23495.197934061274</v>
      </c>
      <c r="K203" s="54">
        <f t="shared" ref="K203:P203" si="167">_xlfn.XLOOKUP(K202,Drains_names_CS,Drains_rates_CS)</f>
        <v>17746.948711216752</v>
      </c>
      <c r="L203" s="54">
        <f t="shared" si="167"/>
        <v>30818.115265667206</v>
      </c>
      <c r="M203" s="54">
        <f t="shared" si="167"/>
        <v>4174</v>
      </c>
      <c r="N203" s="54">
        <f t="shared" si="167"/>
        <v>3930.220784661823</v>
      </c>
      <c r="O203" s="54">
        <f t="shared" si="167"/>
        <v>17746.948711216752</v>
      </c>
      <c r="P203" s="54">
        <f t="shared" si="167"/>
        <v>17746.948711216752</v>
      </c>
      <c r="Q203" s="397"/>
      <c r="R203" s="44"/>
    </row>
    <row r="204" spans="2:18" hidden="1">
      <c r="B204" s="94" t="s">
        <v>533</v>
      </c>
      <c r="C204" s="183"/>
      <c r="D204" s="194"/>
      <c r="E204" s="55" t="s">
        <v>229</v>
      </c>
      <c r="F204" s="28" t="s">
        <v>241</v>
      </c>
      <c r="G204" s="537"/>
      <c r="H204" s="537"/>
      <c r="I204" s="537"/>
      <c r="J204" s="537"/>
      <c r="K204" s="537"/>
      <c r="L204" s="537"/>
      <c r="M204" s="537"/>
      <c r="N204" s="537"/>
      <c r="O204" s="537"/>
      <c r="P204" s="537"/>
      <c r="Q204" s="397"/>
      <c r="R204" s="82"/>
    </row>
    <row r="205" spans="2:18" hidden="1">
      <c r="B205" s="94" t="s">
        <v>533</v>
      </c>
      <c r="C205" s="185"/>
      <c r="D205" s="196"/>
      <c r="E205" s="49" t="s">
        <v>146</v>
      </c>
      <c r="F205" s="28" t="s">
        <v>207</v>
      </c>
      <c r="G205" s="85">
        <f t="shared" ref="G205:J205" si="168">IF(G204="",G203,G204)*G199</f>
        <v>0</v>
      </c>
      <c r="H205" s="85">
        <f t="shared" si="168"/>
        <v>0</v>
      </c>
      <c r="I205" s="85">
        <f t="shared" si="168"/>
        <v>0</v>
      </c>
      <c r="J205" s="85">
        <f t="shared" si="168"/>
        <v>0</v>
      </c>
      <c r="K205" s="85">
        <f t="shared" ref="K205:P205" si="169">IF(K204="",K203,K204)*K199</f>
        <v>0</v>
      </c>
      <c r="L205" s="85">
        <f t="shared" si="169"/>
        <v>0</v>
      </c>
      <c r="M205" s="85">
        <f t="shared" si="169"/>
        <v>0</v>
      </c>
      <c r="N205" s="85">
        <f t="shared" si="169"/>
        <v>0</v>
      </c>
      <c r="O205" s="85">
        <f t="shared" si="169"/>
        <v>0</v>
      </c>
      <c r="P205" s="85">
        <f t="shared" si="169"/>
        <v>0</v>
      </c>
      <c r="Q205" s="397"/>
      <c r="R205" s="82"/>
    </row>
    <row r="206" spans="2:18" hidden="1">
      <c r="B206" s="94" t="s">
        <v>533</v>
      </c>
      <c r="C206" s="187" t="s">
        <v>522</v>
      </c>
      <c r="D206" s="192" t="s">
        <v>523</v>
      </c>
      <c r="E206" s="49" t="s">
        <v>214</v>
      </c>
      <c r="F206" s="28" t="s">
        <v>299</v>
      </c>
      <c r="G206" s="411"/>
      <c r="H206" s="411"/>
      <c r="I206" s="411"/>
      <c r="J206" s="411"/>
      <c r="K206" s="411"/>
      <c r="L206" s="411"/>
      <c r="M206" s="411"/>
      <c r="N206" s="411"/>
      <c r="O206" s="411"/>
      <c r="P206" s="411"/>
      <c r="Q206" s="397"/>
      <c r="R206" s="82"/>
    </row>
    <row r="207" spans="2:18" hidden="1">
      <c r="B207" s="94" t="s">
        <v>533</v>
      </c>
      <c r="C207" s="183"/>
      <c r="D207" s="194"/>
      <c r="E207" s="49" t="s">
        <v>227</v>
      </c>
      <c r="F207" s="28" t="s">
        <v>299</v>
      </c>
      <c r="G207" s="54">
        <f>'Cost Schedule'!$D$584+'Cost Schedule'!$D$210</f>
        <v>796.84982826418661</v>
      </c>
      <c r="H207" s="54">
        <f>'Cost Schedule'!$D$584+'Cost Schedule'!$D$210</f>
        <v>796.84982826418661</v>
      </c>
      <c r="I207" s="54">
        <f>'Cost Schedule'!$D$584+'Cost Schedule'!$D$210</f>
        <v>796.84982826418661</v>
      </c>
      <c r="J207" s="54">
        <f>'Cost Schedule'!$D$584+'Cost Schedule'!$D$210</f>
        <v>796.84982826418661</v>
      </c>
      <c r="K207" s="54">
        <f>'Cost Schedule'!$D$584+'Cost Schedule'!$D$210</f>
        <v>796.84982826418661</v>
      </c>
      <c r="L207" s="54">
        <f>'Cost Schedule'!$D$584+'Cost Schedule'!$D$210</f>
        <v>796.84982826418661</v>
      </c>
      <c r="M207" s="54">
        <f>'Cost Schedule'!$D$584+'Cost Schedule'!$D$210</f>
        <v>796.84982826418661</v>
      </c>
      <c r="N207" s="54">
        <f>'Cost Schedule'!$D$584+'Cost Schedule'!$D$210</f>
        <v>796.84982826418661</v>
      </c>
      <c r="O207" s="54">
        <f>'Cost Schedule'!$D$584+'Cost Schedule'!$D$210</f>
        <v>796.84982826418661</v>
      </c>
      <c r="P207" s="54">
        <f>'Cost Schedule'!$D$584+'Cost Schedule'!$D$210</f>
        <v>796.84982826418661</v>
      </c>
      <c r="Q207" s="397"/>
      <c r="R207" s="44"/>
    </row>
    <row r="208" spans="2:18" hidden="1">
      <c r="B208" s="94" t="s">
        <v>533</v>
      </c>
      <c r="C208" s="183"/>
      <c r="D208" s="194"/>
      <c r="E208" s="55" t="s">
        <v>229</v>
      </c>
      <c r="F208" s="28" t="s">
        <v>241</v>
      </c>
      <c r="G208" s="537"/>
      <c r="H208" s="537"/>
      <c r="I208" s="537"/>
      <c r="J208" s="537"/>
      <c r="K208" s="537"/>
      <c r="L208" s="537"/>
      <c r="M208" s="537"/>
      <c r="N208" s="537"/>
      <c r="O208" s="537"/>
      <c r="P208" s="537"/>
      <c r="Q208" s="397"/>
      <c r="R208" s="82"/>
    </row>
    <row r="209" spans="2:18" hidden="1">
      <c r="B209" s="94" t="s">
        <v>533</v>
      </c>
      <c r="C209" s="185"/>
      <c r="D209" s="196"/>
      <c r="E209" s="49" t="s">
        <v>146</v>
      </c>
      <c r="F209" s="28" t="s">
        <v>207</v>
      </c>
      <c r="G209" s="93">
        <f t="shared" ref="G209:J209" si="170">IF(G208="",G207,G208)*G206</f>
        <v>0</v>
      </c>
      <c r="H209" s="93">
        <f t="shared" si="170"/>
        <v>0</v>
      </c>
      <c r="I209" s="93">
        <f t="shared" si="170"/>
        <v>0</v>
      </c>
      <c r="J209" s="93">
        <f t="shared" si="170"/>
        <v>0</v>
      </c>
      <c r="K209" s="93">
        <f t="shared" ref="K209:P209" si="171">IF(K208="",K207,K208)*K206</f>
        <v>0</v>
      </c>
      <c r="L209" s="93">
        <f t="shared" si="171"/>
        <v>0</v>
      </c>
      <c r="M209" s="93">
        <f t="shared" si="171"/>
        <v>0</v>
      </c>
      <c r="N209" s="93">
        <f t="shared" si="171"/>
        <v>0</v>
      </c>
      <c r="O209" s="93">
        <f t="shared" si="171"/>
        <v>0</v>
      </c>
      <c r="P209" s="93">
        <f t="shared" si="171"/>
        <v>0</v>
      </c>
      <c r="Q209" s="397"/>
      <c r="R209" s="82"/>
    </row>
    <row r="210" spans="2:18" hidden="1">
      <c r="B210" s="94" t="s">
        <v>533</v>
      </c>
      <c r="C210" s="158"/>
      <c r="D210" s="66"/>
      <c r="E210" s="67" t="str">
        <f>CONCATENATE(C199," and ",C206)</f>
        <v>Construct drains and Water management</v>
      </c>
      <c r="F210" s="72"/>
      <c r="G210" s="83">
        <f t="shared" ref="G210:J210" si="172">G205+G209</f>
        <v>0</v>
      </c>
      <c r="H210" s="83">
        <f t="shared" si="172"/>
        <v>0</v>
      </c>
      <c r="I210" s="83">
        <f t="shared" si="172"/>
        <v>0</v>
      </c>
      <c r="J210" s="83">
        <f t="shared" si="172"/>
        <v>0</v>
      </c>
      <c r="K210" s="83">
        <f t="shared" ref="K210:P210" si="173">K205+K209</f>
        <v>0</v>
      </c>
      <c r="L210" s="83">
        <f t="shared" si="173"/>
        <v>0</v>
      </c>
      <c r="M210" s="83">
        <f t="shared" si="173"/>
        <v>0</v>
      </c>
      <c r="N210" s="83">
        <f t="shared" si="173"/>
        <v>0</v>
      </c>
      <c r="O210" s="83">
        <f t="shared" si="173"/>
        <v>0</v>
      </c>
      <c r="P210" s="83">
        <f t="shared" si="173"/>
        <v>0</v>
      </c>
      <c r="Q210" s="397"/>
      <c r="R210" s="82"/>
    </row>
    <row r="211" spans="2:18" hidden="1">
      <c r="B211" s="94" t="s">
        <v>533</v>
      </c>
      <c r="C211" s="187" t="s">
        <v>885</v>
      </c>
      <c r="D211" s="192" t="str">
        <f t="shared" ref="D211" si="174">Growth_media</f>
        <v>Growth media</v>
      </c>
      <c r="E211" s="49" t="s">
        <v>623</v>
      </c>
      <c r="F211" s="28" t="s">
        <v>299</v>
      </c>
      <c r="G211" s="70">
        <f>G$39+G40</f>
        <v>0</v>
      </c>
      <c r="H211" s="70">
        <f t="shared" ref="H211:P211" si="175">H$39+H40</f>
        <v>0</v>
      </c>
      <c r="I211" s="70">
        <f t="shared" si="175"/>
        <v>0</v>
      </c>
      <c r="J211" s="70">
        <f t="shared" si="175"/>
        <v>0</v>
      </c>
      <c r="K211" s="70">
        <f t="shared" si="175"/>
        <v>0</v>
      </c>
      <c r="L211" s="70">
        <f t="shared" si="175"/>
        <v>0</v>
      </c>
      <c r="M211" s="70">
        <f t="shared" si="175"/>
        <v>0</v>
      </c>
      <c r="N211" s="70">
        <f t="shared" si="175"/>
        <v>0</v>
      </c>
      <c r="O211" s="70">
        <f t="shared" si="175"/>
        <v>0</v>
      </c>
      <c r="P211" s="70">
        <f t="shared" si="175"/>
        <v>0</v>
      </c>
      <c r="Q211" s="397"/>
      <c r="R211" s="44"/>
    </row>
    <row r="212" spans="2:18" hidden="1">
      <c r="B212" s="94" t="s">
        <v>533</v>
      </c>
      <c r="C212" s="183"/>
      <c r="D212" s="194"/>
      <c r="E212" s="49" t="s">
        <v>624</v>
      </c>
      <c r="F212" s="28" t="s">
        <v>299</v>
      </c>
      <c r="G212" s="531"/>
      <c r="H212" s="531"/>
      <c r="I212" s="531"/>
      <c r="J212" s="531"/>
      <c r="K212" s="531"/>
      <c r="L212" s="531"/>
      <c r="M212" s="531"/>
      <c r="N212" s="531"/>
      <c r="O212" s="531"/>
      <c r="P212" s="531"/>
      <c r="Q212" s="397"/>
      <c r="R212" s="82"/>
    </row>
    <row r="213" spans="2:18" hidden="1">
      <c r="B213" s="94" t="s">
        <v>533</v>
      </c>
      <c r="C213" s="183"/>
      <c r="D213" s="194"/>
      <c r="E213" s="49" t="s">
        <v>625</v>
      </c>
      <c r="F213" s="28" t="s">
        <v>299</v>
      </c>
      <c r="G213" s="70">
        <f t="shared" ref="G213:J213" si="176">IF(G212="",G211,G212)</f>
        <v>0</v>
      </c>
      <c r="H213" s="70">
        <f t="shared" si="176"/>
        <v>0</v>
      </c>
      <c r="I213" s="70">
        <f t="shared" si="176"/>
        <v>0</v>
      </c>
      <c r="J213" s="70">
        <f t="shared" si="176"/>
        <v>0</v>
      </c>
      <c r="K213" s="70">
        <f t="shared" ref="K213:P213" si="177">IF(K212="",K211,K212)</f>
        <v>0</v>
      </c>
      <c r="L213" s="70">
        <f t="shared" si="177"/>
        <v>0</v>
      </c>
      <c r="M213" s="70">
        <f t="shared" si="177"/>
        <v>0</v>
      </c>
      <c r="N213" s="70">
        <f t="shared" si="177"/>
        <v>0</v>
      </c>
      <c r="O213" s="70">
        <f t="shared" si="177"/>
        <v>0</v>
      </c>
      <c r="P213" s="70">
        <f t="shared" si="177"/>
        <v>0</v>
      </c>
      <c r="Q213" s="397"/>
      <c r="R213" s="44"/>
    </row>
    <row r="214" spans="2:18" hidden="1">
      <c r="B214" s="94" t="s">
        <v>533</v>
      </c>
      <c r="C214" s="183"/>
      <c r="D214" s="194"/>
      <c r="E214" s="47" t="s">
        <v>304</v>
      </c>
      <c r="F214" s="28" t="s">
        <v>211</v>
      </c>
      <c r="G214" s="70">
        <f>_xlfn.XLOOKUP(G37,'Assumptions - Capping'!$D$4:$H$4,'Assumptions - Capping'!$D$12:$H$12)</f>
        <v>0.15</v>
      </c>
      <c r="H214" s="70">
        <f>_xlfn.XLOOKUP(H37,'Assumptions - Capping'!$D$4:$H$4,'Assumptions - Capping'!$D$12:$H$12)</f>
        <v>0.15</v>
      </c>
      <c r="I214" s="70">
        <f>_xlfn.XLOOKUP(I37,'Assumptions - Capping'!$D$4:$H$4,'Assumptions - Capping'!$D$12:$H$12)</f>
        <v>0.15</v>
      </c>
      <c r="J214" s="70">
        <f>_xlfn.XLOOKUP(J37,'Assumptions - Capping'!$D$4:$H$4,'Assumptions - Capping'!$D$12:$H$12)</f>
        <v>0.15</v>
      </c>
      <c r="K214" s="70">
        <f>_xlfn.XLOOKUP(K37,'Assumptions - Capping'!$D$4:$H$4,'Assumptions - Capping'!$D$12:$H$12)</f>
        <v>0.15</v>
      </c>
      <c r="L214" s="70">
        <f>_xlfn.XLOOKUP(L37,'Assumptions - Capping'!$D$4:$H$4,'Assumptions - Capping'!$D$12:$H$12)</f>
        <v>0.15</v>
      </c>
      <c r="M214" s="70">
        <f>_xlfn.XLOOKUP(M37,'Assumptions - Capping'!$D$4:$H$4,'Assumptions - Capping'!$D$12:$H$12)</f>
        <v>0.15</v>
      </c>
      <c r="N214" s="70">
        <f>_xlfn.XLOOKUP(N37,'Assumptions - Capping'!$D$4:$H$4,'Assumptions - Capping'!$D$12:$H$12)</f>
        <v>0.15</v>
      </c>
      <c r="O214" s="70">
        <f>_xlfn.XLOOKUP(O37,'Assumptions - Capping'!$D$4:$H$4,'Assumptions - Capping'!$D$12:$H$12)</f>
        <v>0.15</v>
      </c>
      <c r="P214" s="70">
        <f>_xlfn.XLOOKUP(P37,'Assumptions - Capping'!$D$4:$H$4,'Assumptions - Capping'!$D$12:$H$12)</f>
        <v>0.15</v>
      </c>
      <c r="Q214" s="397"/>
      <c r="R214" s="82"/>
    </row>
    <row r="215" spans="2:18" hidden="1">
      <c r="B215" s="94" t="s">
        <v>533</v>
      </c>
      <c r="C215" s="183"/>
      <c r="D215" s="194"/>
      <c r="E215" s="47" t="s">
        <v>305</v>
      </c>
      <c r="F215" s="28" t="s">
        <v>211</v>
      </c>
      <c r="G215" s="411"/>
      <c r="H215" s="411"/>
      <c r="I215" s="411"/>
      <c r="J215" s="411"/>
      <c r="K215" s="411"/>
      <c r="L215" s="411"/>
      <c r="M215" s="411"/>
      <c r="N215" s="411"/>
      <c r="O215" s="411"/>
      <c r="P215" s="411"/>
      <c r="Q215" s="397"/>
      <c r="R215" s="44" t="s">
        <v>864</v>
      </c>
    </row>
    <row r="216" spans="2:18" hidden="1">
      <c r="B216" s="94" t="s">
        <v>533</v>
      </c>
      <c r="C216" s="183"/>
      <c r="D216" s="194"/>
      <c r="E216" s="47" t="s">
        <v>306</v>
      </c>
      <c r="F216" s="28" t="s">
        <v>211</v>
      </c>
      <c r="G216" s="70">
        <f>IF(G215="",G214,G215)</f>
        <v>0.15</v>
      </c>
      <c r="H216" s="70">
        <f t="shared" ref="H216:P216" si="178">IF(H215="",H214,H215)</f>
        <v>0.15</v>
      </c>
      <c r="I216" s="70">
        <f t="shared" si="178"/>
        <v>0.15</v>
      </c>
      <c r="J216" s="70">
        <f t="shared" si="178"/>
        <v>0.15</v>
      </c>
      <c r="K216" s="70">
        <f t="shared" si="178"/>
        <v>0.15</v>
      </c>
      <c r="L216" s="70">
        <f t="shared" si="178"/>
        <v>0.15</v>
      </c>
      <c r="M216" s="70">
        <f t="shared" si="178"/>
        <v>0.15</v>
      </c>
      <c r="N216" s="70">
        <f t="shared" si="178"/>
        <v>0.15</v>
      </c>
      <c r="O216" s="70">
        <f t="shared" si="178"/>
        <v>0.15</v>
      </c>
      <c r="P216" s="70">
        <f t="shared" si="178"/>
        <v>0.15</v>
      </c>
      <c r="Q216" s="397"/>
      <c r="R216" s="44" t="str">
        <f>IF(OR(G216&lt;G214,H216&lt;H214,I216&lt;I214,J216&lt;J214,K216&lt;K214,L216&lt;L214,M216&lt;M214,N216&lt;N214,O216&lt;O214,P216&lt;P214),"Add justification for lower thickness.","If user enters less than default they must provide justification.")</f>
        <v>If user enters less than default they must provide justification.</v>
      </c>
    </row>
    <row r="217" spans="2:18" hidden="1">
      <c r="B217" s="94" t="s">
        <v>533</v>
      </c>
      <c r="C217" s="183"/>
      <c r="D217" s="194"/>
      <c r="E217" s="49" t="s">
        <v>307</v>
      </c>
      <c r="F217" s="28" t="s">
        <v>219</v>
      </c>
      <c r="G217" s="58">
        <f t="shared" ref="G217:P217" si="179">G213*Conv_sqm_ha*G216</f>
        <v>0</v>
      </c>
      <c r="H217" s="58">
        <f t="shared" si="179"/>
        <v>0</v>
      </c>
      <c r="I217" s="58">
        <f t="shared" si="179"/>
        <v>0</v>
      </c>
      <c r="J217" s="58">
        <f t="shared" si="179"/>
        <v>0</v>
      </c>
      <c r="K217" s="58">
        <f t="shared" si="179"/>
        <v>0</v>
      </c>
      <c r="L217" s="58">
        <f t="shared" si="179"/>
        <v>0</v>
      </c>
      <c r="M217" s="58">
        <f t="shared" si="179"/>
        <v>0</v>
      </c>
      <c r="N217" s="58">
        <f t="shared" si="179"/>
        <v>0</v>
      </c>
      <c r="O217" s="58">
        <f t="shared" si="179"/>
        <v>0</v>
      </c>
      <c r="P217" s="58">
        <f t="shared" si="179"/>
        <v>0</v>
      </c>
      <c r="Q217" s="397"/>
      <c r="R217" s="44"/>
    </row>
    <row r="218" spans="2:18" hidden="1">
      <c r="B218" s="94" t="s">
        <v>533</v>
      </c>
      <c r="C218" s="183"/>
      <c r="D218" s="194"/>
      <c r="E218" s="49" t="s">
        <v>539</v>
      </c>
      <c r="F218" s="28" t="s">
        <v>219</v>
      </c>
      <c r="G218" s="463"/>
      <c r="H218" s="463">
        <f>H217</f>
        <v>0</v>
      </c>
      <c r="I218" s="463"/>
      <c r="J218" s="463"/>
      <c r="K218" s="463">
        <f>K217</f>
        <v>0</v>
      </c>
      <c r="L218" s="463"/>
      <c r="M218" s="463"/>
      <c r="N218" s="463"/>
      <c r="O218" s="463"/>
      <c r="P218" s="463"/>
      <c r="Q218" s="397"/>
      <c r="R218" s="44"/>
    </row>
    <row r="219" spans="2:18" hidden="1">
      <c r="B219" s="94" t="s">
        <v>533</v>
      </c>
      <c r="C219" s="183"/>
      <c r="D219" s="194"/>
      <c r="E219" s="49" t="s">
        <v>540</v>
      </c>
      <c r="F219" s="28" t="s">
        <v>219</v>
      </c>
      <c r="G219" s="58">
        <f>G217-G218</f>
        <v>0</v>
      </c>
      <c r="H219" s="58">
        <f t="shared" ref="H219:P219" si="180">H217-H218</f>
        <v>0</v>
      </c>
      <c r="I219" s="58">
        <f t="shared" si="180"/>
        <v>0</v>
      </c>
      <c r="J219" s="58">
        <f t="shared" si="180"/>
        <v>0</v>
      </c>
      <c r="K219" s="58">
        <f t="shared" si="180"/>
        <v>0</v>
      </c>
      <c r="L219" s="58">
        <f t="shared" si="180"/>
        <v>0</v>
      </c>
      <c r="M219" s="58">
        <f t="shared" si="180"/>
        <v>0</v>
      </c>
      <c r="N219" s="58">
        <f t="shared" si="180"/>
        <v>0</v>
      </c>
      <c r="O219" s="58">
        <f t="shared" si="180"/>
        <v>0</v>
      </c>
      <c r="P219" s="58">
        <f t="shared" si="180"/>
        <v>0</v>
      </c>
      <c r="Q219" s="397"/>
      <c r="R219" s="44"/>
    </row>
    <row r="220" spans="2:18" hidden="1">
      <c r="B220" s="94" t="s">
        <v>533</v>
      </c>
      <c r="C220" s="181" t="s">
        <v>541</v>
      </c>
      <c r="D220" s="192" t="s">
        <v>542</v>
      </c>
      <c r="E220" s="49" t="s">
        <v>543</v>
      </c>
      <c r="F220" s="28" t="s">
        <v>123</v>
      </c>
      <c r="G220" s="412" t="s">
        <v>233</v>
      </c>
      <c r="H220" s="412" t="s">
        <v>233</v>
      </c>
      <c r="I220" s="412" t="s">
        <v>233</v>
      </c>
      <c r="J220" s="412" t="s">
        <v>233</v>
      </c>
      <c r="K220" s="412" t="s">
        <v>233</v>
      </c>
      <c r="L220" s="412" t="s">
        <v>233</v>
      </c>
      <c r="M220" s="412" t="s">
        <v>233</v>
      </c>
      <c r="N220" s="412" t="s">
        <v>233</v>
      </c>
      <c r="O220" s="412" t="s">
        <v>233</v>
      </c>
      <c r="P220" s="412" t="s">
        <v>233</v>
      </c>
      <c r="Q220" s="397"/>
      <c r="R220" s="44"/>
    </row>
    <row r="221" spans="2:18" hidden="1">
      <c r="B221" s="94" t="s">
        <v>533</v>
      </c>
      <c r="C221" s="183"/>
      <c r="D221" s="194"/>
      <c r="E221" s="49" t="s">
        <v>546</v>
      </c>
      <c r="F221" s="28" t="s">
        <v>253</v>
      </c>
      <c r="G221" s="54">
        <f t="shared" ref="G221:P221" si="181">_xlfn.XLOOKUP(G220,Long_haul_soil_amend_names_volume_CS,Long_haul_soil_amend_rates_volume_CS)</f>
        <v>0.18641557835380454</v>
      </c>
      <c r="H221" s="54">
        <f t="shared" si="181"/>
        <v>0.18641557835380454</v>
      </c>
      <c r="I221" s="54">
        <f t="shared" si="181"/>
        <v>0.18641557835380454</v>
      </c>
      <c r="J221" s="54">
        <f t="shared" si="181"/>
        <v>0.18641557835380454</v>
      </c>
      <c r="K221" s="54">
        <f t="shared" si="181"/>
        <v>0.18641557835380454</v>
      </c>
      <c r="L221" s="54">
        <f t="shared" si="181"/>
        <v>0.18641557835380454</v>
      </c>
      <c r="M221" s="54">
        <f t="shared" si="181"/>
        <v>0.18641557835380454</v>
      </c>
      <c r="N221" s="54">
        <f t="shared" si="181"/>
        <v>0.18641557835380454</v>
      </c>
      <c r="O221" s="54">
        <f t="shared" si="181"/>
        <v>0.18641557835380454</v>
      </c>
      <c r="P221" s="54">
        <f t="shared" si="181"/>
        <v>0.18641557835380454</v>
      </c>
      <c r="Q221" s="397"/>
      <c r="R221" s="44"/>
    </row>
    <row r="222" spans="2:18" hidden="1">
      <c r="B222" s="94" t="s">
        <v>533</v>
      </c>
      <c r="C222" s="183"/>
      <c r="D222" s="194"/>
      <c r="E222" s="27" t="s">
        <v>547</v>
      </c>
      <c r="F222" s="28" t="s">
        <v>253</v>
      </c>
      <c r="G222" s="537"/>
      <c r="H222" s="537"/>
      <c r="I222" s="537"/>
      <c r="J222" s="537"/>
      <c r="K222" s="537"/>
      <c r="L222" s="537"/>
      <c r="M222" s="537"/>
      <c r="N222" s="537"/>
      <c r="O222" s="537"/>
      <c r="P222" s="537"/>
      <c r="Q222" s="397"/>
      <c r="R222" s="44"/>
    </row>
    <row r="223" spans="2:18" hidden="1">
      <c r="B223" s="94" t="s">
        <v>533</v>
      </c>
      <c r="C223" s="183"/>
      <c r="D223" s="194"/>
      <c r="E223" s="49" t="s">
        <v>886</v>
      </c>
      <c r="F223" s="28" t="s">
        <v>207</v>
      </c>
      <c r="G223" s="93">
        <f t="shared" ref="G223:P223" si="182">IF(G222="",G221,G222)*G219*_xlfn.XLOOKUP(G220,Long_haul_distance_names_L,Long_haul_distances_average_L)</f>
        <v>0</v>
      </c>
      <c r="H223" s="93">
        <f t="shared" si="182"/>
        <v>0</v>
      </c>
      <c r="I223" s="93">
        <f t="shared" si="182"/>
        <v>0</v>
      </c>
      <c r="J223" s="93">
        <f t="shared" si="182"/>
        <v>0</v>
      </c>
      <c r="K223" s="93">
        <f t="shared" si="182"/>
        <v>0</v>
      </c>
      <c r="L223" s="93">
        <f t="shared" si="182"/>
        <v>0</v>
      </c>
      <c r="M223" s="93">
        <f t="shared" si="182"/>
        <v>0</v>
      </c>
      <c r="N223" s="93">
        <f t="shared" si="182"/>
        <v>0</v>
      </c>
      <c r="O223" s="93">
        <f t="shared" si="182"/>
        <v>0</v>
      </c>
      <c r="P223" s="93">
        <f t="shared" si="182"/>
        <v>0</v>
      </c>
      <c r="Q223" s="397"/>
      <c r="R223" s="44"/>
    </row>
    <row r="224" spans="2:18" hidden="1">
      <c r="B224" s="94" t="s">
        <v>533</v>
      </c>
      <c r="C224" s="183"/>
      <c r="D224" s="194"/>
      <c r="E224" s="49" t="s">
        <v>311</v>
      </c>
      <c r="F224" s="28" t="s">
        <v>123</v>
      </c>
      <c r="G224" s="412" t="s">
        <v>549</v>
      </c>
      <c r="H224" s="412" t="s">
        <v>549</v>
      </c>
      <c r="I224" s="412" t="s">
        <v>549</v>
      </c>
      <c r="J224" s="412" t="s">
        <v>549</v>
      </c>
      <c r="K224" s="412" t="s">
        <v>549</v>
      </c>
      <c r="L224" s="412" t="s">
        <v>549</v>
      </c>
      <c r="M224" s="412" t="s">
        <v>549</v>
      </c>
      <c r="N224" s="412" t="s">
        <v>549</v>
      </c>
      <c r="O224" s="412" t="s">
        <v>549</v>
      </c>
      <c r="P224" s="412" t="s">
        <v>549</v>
      </c>
      <c r="Q224" s="397"/>
      <c r="R224" s="44"/>
    </row>
    <row r="225" spans="2:18" hidden="1">
      <c r="B225" s="94" t="s">
        <v>533</v>
      </c>
      <c r="C225" s="183"/>
      <c r="D225" s="194"/>
      <c r="E225" s="49" t="s">
        <v>551</v>
      </c>
      <c r="F225" s="28" t="s">
        <v>241</v>
      </c>
      <c r="G225" s="54">
        <f t="shared" ref="G225:P225" si="183">IF(G224=Growth_media,Growth_media_purchase_rate*Growth_media_soil_density,VENM_backfill_buy_R)</f>
        <v>128.79999999999998</v>
      </c>
      <c r="H225" s="54">
        <f t="shared" si="183"/>
        <v>128.79999999999998</v>
      </c>
      <c r="I225" s="54">
        <f t="shared" si="183"/>
        <v>128.79999999999998</v>
      </c>
      <c r="J225" s="54">
        <f t="shared" si="183"/>
        <v>128.79999999999998</v>
      </c>
      <c r="K225" s="54">
        <f t="shared" si="183"/>
        <v>128.79999999999998</v>
      </c>
      <c r="L225" s="54">
        <f t="shared" si="183"/>
        <v>128.79999999999998</v>
      </c>
      <c r="M225" s="54">
        <f t="shared" si="183"/>
        <v>128.79999999999998</v>
      </c>
      <c r="N225" s="54">
        <f t="shared" si="183"/>
        <v>128.79999999999998</v>
      </c>
      <c r="O225" s="54">
        <f t="shared" si="183"/>
        <v>128.79999999999998</v>
      </c>
      <c r="P225" s="54">
        <f t="shared" si="183"/>
        <v>128.79999999999998</v>
      </c>
      <c r="Q225" s="397"/>
      <c r="R225" s="44"/>
    </row>
    <row r="226" spans="2:18" ht="15" hidden="1" customHeight="1">
      <c r="B226" s="94" t="s">
        <v>533</v>
      </c>
      <c r="C226" s="183"/>
      <c r="D226" s="194"/>
      <c r="E226" s="27" t="s">
        <v>552</v>
      </c>
      <c r="F226" s="28" t="s">
        <v>241</v>
      </c>
      <c r="G226" s="537"/>
      <c r="H226" s="537"/>
      <c r="I226" s="537"/>
      <c r="J226" s="537"/>
      <c r="K226" s="537"/>
      <c r="L226" s="537"/>
      <c r="M226" s="537"/>
      <c r="N226" s="537"/>
      <c r="O226" s="537"/>
      <c r="P226" s="537"/>
      <c r="Q226" s="397"/>
      <c r="R226" s="82"/>
    </row>
    <row r="227" spans="2:18" hidden="1">
      <c r="B227" s="94" t="s">
        <v>533</v>
      </c>
      <c r="C227" s="183"/>
      <c r="D227" s="194"/>
      <c r="E227" s="49" t="s">
        <v>548</v>
      </c>
      <c r="F227" s="28" t="s">
        <v>207</v>
      </c>
      <c r="G227" s="93">
        <f t="shared" ref="G227:P227" si="184">IF(G226="",G225,G226)*G219</f>
        <v>0</v>
      </c>
      <c r="H227" s="93">
        <f t="shared" si="184"/>
        <v>0</v>
      </c>
      <c r="I227" s="93">
        <f t="shared" si="184"/>
        <v>0</v>
      </c>
      <c r="J227" s="93">
        <f t="shared" si="184"/>
        <v>0</v>
      </c>
      <c r="K227" s="93">
        <f t="shared" si="184"/>
        <v>0</v>
      </c>
      <c r="L227" s="93">
        <f t="shared" si="184"/>
        <v>0</v>
      </c>
      <c r="M227" s="93">
        <f t="shared" si="184"/>
        <v>0</v>
      </c>
      <c r="N227" s="93">
        <f t="shared" si="184"/>
        <v>0</v>
      </c>
      <c r="O227" s="93">
        <f t="shared" si="184"/>
        <v>0</v>
      </c>
      <c r="P227" s="93">
        <f t="shared" si="184"/>
        <v>0</v>
      </c>
      <c r="Q227" s="397"/>
      <c r="R227" s="44"/>
    </row>
    <row r="228" spans="2:18" ht="33.75" hidden="1">
      <c r="B228" s="94" t="s">
        <v>533</v>
      </c>
      <c r="C228" s="181" t="s">
        <v>541</v>
      </c>
      <c r="D228" s="192" t="s">
        <v>553</v>
      </c>
      <c r="E228" s="82" t="s">
        <v>887</v>
      </c>
      <c r="F228" s="28" t="s">
        <v>123</v>
      </c>
      <c r="G228" s="461" t="s">
        <v>555</v>
      </c>
      <c r="H228" s="461" t="s">
        <v>555</v>
      </c>
      <c r="I228" s="461" t="s">
        <v>555</v>
      </c>
      <c r="J228" s="461" t="s">
        <v>555</v>
      </c>
      <c r="K228" s="461" t="s">
        <v>555</v>
      </c>
      <c r="L228" s="461" t="s">
        <v>555</v>
      </c>
      <c r="M228" s="461" t="s">
        <v>555</v>
      </c>
      <c r="N228" s="461" t="s">
        <v>555</v>
      </c>
      <c r="O228" s="461" t="s">
        <v>555</v>
      </c>
      <c r="P228" s="461" t="s">
        <v>555</v>
      </c>
      <c r="Q228" s="397"/>
      <c r="R228" s="82"/>
    </row>
    <row r="229" spans="2:18" hidden="1">
      <c r="B229" s="94" t="s">
        <v>533</v>
      </c>
      <c r="C229" s="183"/>
      <c r="D229" s="194"/>
      <c r="E229" s="49" t="s">
        <v>227</v>
      </c>
      <c r="F229" s="28" t="s">
        <v>241</v>
      </c>
      <c r="G229" s="54">
        <f t="shared" ref="G229:J229" si="185">_xlfn.XLOOKUP(G228,Load_haul_soil_names_CS,Load_haul_soil_rates_CS)</f>
        <v>5.5737090155748836</v>
      </c>
      <c r="H229" s="54">
        <f t="shared" si="185"/>
        <v>5.5737090155748836</v>
      </c>
      <c r="I229" s="54">
        <f t="shared" si="185"/>
        <v>5.5737090155748836</v>
      </c>
      <c r="J229" s="54">
        <f t="shared" si="185"/>
        <v>5.5737090155748836</v>
      </c>
      <c r="K229" s="54">
        <f t="shared" ref="K229:P229" si="186">_xlfn.XLOOKUP(K228,Load_haul_soil_names_CS,Load_haul_soil_rates_CS)</f>
        <v>5.5737090155748836</v>
      </c>
      <c r="L229" s="54">
        <f t="shared" si="186"/>
        <v>5.5737090155748836</v>
      </c>
      <c r="M229" s="54">
        <f t="shared" si="186"/>
        <v>5.5737090155748836</v>
      </c>
      <c r="N229" s="54">
        <f t="shared" si="186"/>
        <v>5.5737090155748836</v>
      </c>
      <c r="O229" s="54">
        <f t="shared" si="186"/>
        <v>5.5737090155748836</v>
      </c>
      <c r="P229" s="54">
        <f t="shared" si="186"/>
        <v>5.5737090155748836</v>
      </c>
      <c r="Q229" s="397"/>
      <c r="R229" s="44"/>
    </row>
    <row r="230" spans="2:18" hidden="1">
      <c r="B230" s="94" t="s">
        <v>533</v>
      </c>
      <c r="C230" s="183"/>
      <c r="D230" s="194"/>
      <c r="E230" s="55" t="s">
        <v>229</v>
      </c>
      <c r="F230" s="28" t="s">
        <v>241</v>
      </c>
      <c r="G230" s="537"/>
      <c r="H230" s="537"/>
      <c r="I230" s="537"/>
      <c r="J230" s="537"/>
      <c r="K230" s="537"/>
      <c r="L230" s="537"/>
      <c r="M230" s="537"/>
      <c r="N230" s="537"/>
      <c r="O230" s="537"/>
      <c r="P230" s="537"/>
      <c r="Q230" s="397"/>
      <c r="R230" s="82"/>
    </row>
    <row r="231" spans="2:18" hidden="1">
      <c r="B231" s="94" t="s">
        <v>533</v>
      </c>
      <c r="C231" s="183"/>
      <c r="D231" s="194"/>
      <c r="E231" s="49" t="s">
        <v>146</v>
      </c>
      <c r="F231" s="28" t="s">
        <v>207</v>
      </c>
      <c r="G231" s="98">
        <f t="shared" ref="G231:P231" si="187">IF(G230="",G229,G230)*G217</f>
        <v>0</v>
      </c>
      <c r="H231" s="98">
        <f t="shared" si="187"/>
        <v>0</v>
      </c>
      <c r="I231" s="98">
        <f t="shared" si="187"/>
        <v>0</v>
      </c>
      <c r="J231" s="98">
        <f t="shared" si="187"/>
        <v>0</v>
      </c>
      <c r="K231" s="98">
        <f t="shared" si="187"/>
        <v>0</v>
      </c>
      <c r="L231" s="98">
        <f t="shared" si="187"/>
        <v>0</v>
      </c>
      <c r="M231" s="98">
        <f t="shared" si="187"/>
        <v>0</v>
      </c>
      <c r="N231" s="98">
        <f t="shared" si="187"/>
        <v>0</v>
      </c>
      <c r="O231" s="98">
        <f t="shared" si="187"/>
        <v>0</v>
      </c>
      <c r="P231" s="98">
        <f t="shared" si="187"/>
        <v>0</v>
      </c>
      <c r="Q231" s="397"/>
      <c r="R231" s="82"/>
    </row>
    <row r="232" spans="2:18" hidden="1">
      <c r="B232" s="94" t="s">
        <v>533</v>
      </c>
      <c r="C232" s="158"/>
      <c r="D232" s="66"/>
      <c r="E232" s="67" t="str">
        <f>C211</f>
        <v>Source and apply growth media / fill</v>
      </c>
      <c r="F232" s="72"/>
      <c r="G232" s="83">
        <f>G223+G227+G231</f>
        <v>0</v>
      </c>
      <c r="H232" s="83">
        <f t="shared" ref="H232:P232" si="188">H223+H227+H231</f>
        <v>0</v>
      </c>
      <c r="I232" s="83">
        <f t="shared" si="188"/>
        <v>0</v>
      </c>
      <c r="J232" s="83">
        <f t="shared" si="188"/>
        <v>0</v>
      </c>
      <c r="K232" s="83">
        <f t="shared" si="188"/>
        <v>0</v>
      </c>
      <c r="L232" s="83">
        <f t="shared" si="188"/>
        <v>0</v>
      </c>
      <c r="M232" s="83">
        <f t="shared" si="188"/>
        <v>0</v>
      </c>
      <c r="N232" s="83">
        <f t="shared" si="188"/>
        <v>0</v>
      </c>
      <c r="O232" s="83">
        <f t="shared" si="188"/>
        <v>0</v>
      </c>
      <c r="P232" s="83">
        <f t="shared" si="188"/>
        <v>0</v>
      </c>
      <c r="Q232" s="397"/>
      <c r="R232" s="82"/>
    </row>
    <row r="233" spans="2:18" hidden="1">
      <c r="B233" s="94" t="s">
        <v>533</v>
      </c>
      <c r="C233" s="187" t="s">
        <v>310</v>
      </c>
      <c r="D233" s="192" t="str">
        <f t="shared" ref="D233" si="189">Ameliorants</f>
        <v>Ameliorants</v>
      </c>
      <c r="E233" s="49" t="s">
        <v>623</v>
      </c>
      <c r="F233" s="28" t="s">
        <v>299</v>
      </c>
      <c r="G233" s="78">
        <f>G$39</f>
        <v>0</v>
      </c>
      <c r="H233" s="78">
        <f t="shared" ref="H233:P233" si="190">H$39</f>
        <v>0</v>
      </c>
      <c r="I233" s="78">
        <f t="shared" si="190"/>
        <v>0</v>
      </c>
      <c r="J233" s="78">
        <f t="shared" si="190"/>
        <v>0</v>
      </c>
      <c r="K233" s="78">
        <f t="shared" si="190"/>
        <v>0</v>
      </c>
      <c r="L233" s="78">
        <f t="shared" si="190"/>
        <v>0</v>
      </c>
      <c r="M233" s="78">
        <f t="shared" si="190"/>
        <v>0</v>
      </c>
      <c r="N233" s="78">
        <f t="shared" si="190"/>
        <v>0</v>
      </c>
      <c r="O233" s="78">
        <f t="shared" si="190"/>
        <v>0</v>
      </c>
      <c r="P233" s="78">
        <f t="shared" si="190"/>
        <v>0</v>
      </c>
      <c r="Q233" s="397"/>
      <c r="R233" s="44"/>
    </row>
    <row r="234" spans="2:18" hidden="1">
      <c r="B234" s="94" t="s">
        <v>533</v>
      </c>
      <c r="C234" s="183"/>
      <c r="D234" s="194"/>
      <c r="E234" s="49" t="s">
        <v>624</v>
      </c>
      <c r="F234" s="28" t="s">
        <v>299</v>
      </c>
      <c r="G234" s="515">
        <v>0</v>
      </c>
      <c r="H234" s="515">
        <v>0</v>
      </c>
      <c r="I234" s="515">
        <v>0</v>
      </c>
      <c r="J234" s="515">
        <v>0</v>
      </c>
      <c r="K234" s="515">
        <v>0</v>
      </c>
      <c r="L234" s="515">
        <v>0</v>
      </c>
      <c r="M234" s="515">
        <v>0</v>
      </c>
      <c r="N234" s="515">
        <v>0</v>
      </c>
      <c r="O234" s="515">
        <v>0</v>
      </c>
      <c r="P234" s="515">
        <v>0</v>
      </c>
      <c r="Q234" s="397"/>
      <c r="R234" s="82"/>
    </row>
    <row r="235" spans="2:18" hidden="1">
      <c r="B235" s="94" t="s">
        <v>533</v>
      </c>
      <c r="C235" s="183"/>
      <c r="D235" s="194"/>
      <c r="E235" s="49" t="s">
        <v>625</v>
      </c>
      <c r="F235" s="28" t="s">
        <v>299</v>
      </c>
      <c r="G235" s="78">
        <f t="shared" ref="G235:J235" si="191">IF(G234="",G233,G234)</f>
        <v>0</v>
      </c>
      <c r="H235" s="78">
        <f t="shared" si="191"/>
        <v>0</v>
      </c>
      <c r="I235" s="78">
        <f t="shared" si="191"/>
        <v>0</v>
      </c>
      <c r="J235" s="78">
        <f t="shared" si="191"/>
        <v>0</v>
      </c>
      <c r="K235" s="78">
        <f t="shared" ref="K235:P235" si="192">IF(K234="",K233,K234)</f>
        <v>0</v>
      </c>
      <c r="L235" s="78">
        <f t="shared" si="192"/>
        <v>0</v>
      </c>
      <c r="M235" s="78">
        <f t="shared" si="192"/>
        <v>0</v>
      </c>
      <c r="N235" s="78">
        <f t="shared" si="192"/>
        <v>0</v>
      </c>
      <c r="O235" s="78">
        <f t="shared" si="192"/>
        <v>0</v>
      </c>
      <c r="P235" s="78">
        <f t="shared" si="192"/>
        <v>0</v>
      </c>
      <c r="Q235" s="397"/>
      <c r="R235" s="44"/>
    </row>
    <row r="236" spans="2:18" hidden="1">
      <c r="B236" s="94" t="s">
        <v>533</v>
      </c>
      <c r="C236" s="183"/>
      <c r="D236" s="194"/>
      <c r="E236" s="49" t="s">
        <v>311</v>
      </c>
      <c r="F236" s="28" t="s">
        <v>123</v>
      </c>
      <c r="G236" s="461" t="s">
        <v>312</v>
      </c>
      <c r="H236" s="461" t="s">
        <v>312</v>
      </c>
      <c r="I236" s="461" t="s">
        <v>312</v>
      </c>
      <c r="J236" s="461" t="s">
        <v>312</v>
      </c>
      <c r="K236" s="461" t="s">
        <v>312</v>
      </c>
      <c r="L236" s="461" t="s">
        <v>312</v>
      </c>
      <c r="M236" s="461" t="s">
        <v>312</v>
      </c>
      <c r="N236" s="461" t="s">
        <v>312</v>
      </c>
      <c r="O236" s="461" t="s">
        <v>312</v>
      </c>
      <c r="P236" s="461" t="s">
        <v>312</v>
      </c>
      <c r="Q236" s="397"/>
      <c r="R236" s="82"/>
    </row>
    <row r="237" spans="2:18" hidden="1">
      <c r="B237" s="94" t="s">
        <v>533</v>
      </c>
      <c r="C237" s="183"/>
      <c r="D237" s="194"/>
      <c r="E237" s="49" t="s">
        <v>320</v>
      </c>
      <c r="F237" s="28" t="s">
        <v>321</v>
      </c>
      <c r="G237" s="78">
        <f>_xlfn.XLOOKUP(G236,'Assumptions - General'!$B$5:$B$14,'Assumptions - General'!$C$5:$C$14)</f>
        <v>2.5</v>
      </c>
      <c r="H237" s="78">
        <f>_xlfn.XLOOKUP(H236,'Assumptions - General'!$B$5:$B$14,'Assumptions - General'!$C$5:$C$14)</f>
        <v>2.5</v>
      </c>
      <c r="I237" s="78">
        <f>_xlfn.XLOOKUP(I236,'Assumptions - General'!$B$5:$B$14,'Assumptions - General'!$C$5:$C$14)</f>
        <v>2.5</v>
      </c>
      <c r="J237" s="78">
        <f>_xlfn.XLOOKUP(J236,'Assumptions - General'!$B$5:$B$14,'Assumptions - General'!$C$5:$C$14)</f>
        <v>2.5</v>
      </c>
      <c r="K237" s="78">
        <f>_xlfn.XLOOKUP(K236,'Assumptions - General'!$B$5:$B$14,'Assumptions - General'!$C$5:$C$14)</f>
        <v>2.5</v>
      </c>
      <c r="L237" s="78">
        <f>_xlfn.XLOOKUP(L236,'Assumptions - General'!$B$5:$B$14,'Assumptions - General'!$C$5:$C$14)</f>
        <v>2.5</v>
      </c>
      <c r="M237" s="78">
        <f>_xlfn.XLOOKUP(M236,'Assumptions - General'!$B$5:$B$14,'Assumptions - General'!$C$5:$C$14)</f>
        <v>2.5</v>
      </c>
      <c r="N237" s="78">
        <f>_xlfn.XLOOKUP(N236,'Assumptions - General'!$B$5:$B$14,'Assumptions - General'!$C$5:$C$14)</f>
        <v>2.5</v>
      </c>
      <c r="O237" s="78">
        <f>_xlfn.XLOOKUP(O236,'Assumptions - General'!$B$5:$B$14,'Assumptions - General'!$C$5:$C$14)</f>
        <v>2.5</v>
      </c>
      <c r="P237" s="78">
        <f>_xlfn.XLOOKUP(P236,'Assumptions - General'!$B$5:$B$14,'Assumptions - General'!$C$5:$C$14)</f>
        <v>2.5</v>
      </c>
      <c r="Q237" s="397"/>
      <c r="R237" s="44"/>
    </row>
    <row r="238" spans="2:18" hidden="1">
      <c r="B238" s="94" t="s">
        <v>533</v>
      </c>
      <c r="C238" s="185"/>
      <c r="D238" s="194"/>
      <c r="E238" s="49" t="s">
        <v>322</v>
      </c>
      <c r="F238" s="28" t="s">
        <v>221</v>
      </c>
      <c r="G238" s="78">
        <f t="shared" ref="G238:J238" si="193">G235*G237</f>
        <v>0</v>
      </c>
      <c r="H238" s="78">
        <f t="shared" si="193"/>
        <v>0</v>
      </c>
      <c r="I238" s="78">
        <f t="shared" si="193"/>
        <v>0</v>
      </c>
      <c r="J238" s="78">
        <f t="shared" si="193"/>
        <v>0</v>
      </c>
      <c r="K238" s="78">
        <f t="shared" ref="K238:P238" si="194">K235*K237</f>
        <v>0</v>
      </c>
      <c r="L238" s="78">
        <f t="shared" si="194"/>
        <v>0</v>
      </c>
      <c r="M238" s="78">
        <f t="shared" si="194"/>
        <v>0</v>
      </c>
      <c r="N238" s="78">
        <f t="shared" si="194"/>
        <v>0</v>
      </c>
      <c r="O238" s="78">
        <f t="shared" si="194"/>
        <v>0</v>
      </c>
      <c r="P238" s="78">
        <f t="shared" si="194"/>
        <v>0</v>
      </c>
      <c r="Q238" s="397"/>
      <c r="R238" s="44"/>
    </row>
    <row r="239" spans="2:18" hidden="1">
      <c r="B239" s="94" t="s">
        <v>533</v>
      </c>
      <c r="C239" s="181" t="s">
        <v>556</v>
      </c>
      <c r="D239" s="194"/>
      <c r="E239" s="49" t="s">
        <v>227</v>
      </c>
      <c r="F239" s="28" t="s">
        <v>228</v>
      </c>
      <c r="G239" s="54">
        <f t="shared" ref="G239:P239" si="195">_xlfn.XLOOKUP(G236,Rates_soil_seed_adds_names_R,Rates_soil_seed_adds_rates_R)</f>
        <v>47</v>
      </c>
      <c r="H239" s="54">
        <f t="shared" si="195"/>
        <v>47</v>
      </c>
      <c r="I239" s="54">
        <f t="shared" si="195"/>
        <v>47</v>
      </c>
      <c r="J239" s="54">
        <f t="shared" si="195"/>
        <v>47</v>
      </c>
      <c r="K239" s="54">
        <f t="shared" si="195"/>
        <v>47</v>
      </c>
      <c r="L239" s="54">
        <f t="shared" si="195"/>
        <v>47</v>
      </c>
      <c r="M239" s="54">
        <f t="shared" si="195"/>
        <v>47</v>
      </c>
      <c r="N239" s="54">
        <f t="shared" si="195"/>
        <v>47</v>
      </c>
      <c r="O239" s="54">
        <f t="shared" si="195"/>
        <v>47</v>
      </c>
      <c r="P239" s="54">
        <f t="shared" si="195"/>
        <v>47</v>
      </c>
      <c r="Q239" s="397"/>
      <c r="R239" s="44"/>
    </row>
    <row r="240" spans="2:18" hidden="1">
      <c r="B240" s="94" t="s">
        <v>533</v>
      </c>
      <c r="C240" s="183"/>
      <c r="D240" s="194"/>
      <c r="E240" s="55" t="s">
        <v>229</v>
      </c>
      <c r="F240" s="28" t="s">
        <v>228</v>
      </c>
      <c r="G240" s="537"/>
      <c r="H240" s="537"/>
      <c r="I240" s="537"/>
      <c r="J240" s="537"/>
      <c r="K240" s="537"/>
      <c r="L240" s="537"/>
      <c r="M240" s="537"/>
      <c r="N240" s="537"/>
      <c r="O240" s="537"/>
      <c r="P240" s="537"/>
      <c r="Q240" s="397"/>
      <c r="R240" s="82"/>
    </row>
    <row r="241" spans="2:18" hidden="1">
      <c r="B241" s="94" t="s">
        <v>533</v>
      </c>
      <c r="C241" s="185"/>
      <c r="D241" s="194"/>
      <c r="E241" s="49" t="s">
        <v>325</v>
      </c>
      <c r="F241" s="28" t="s">
        <v>207</v>
      </c>
      <c r="G241" s="95">
        <f t="shared" ref="G241:J241" si="196">IF(G240="",G239,G240)*G238</f>
        <v>0</v>
      </c>
      <c r="H241" s="95">
        <f t="shared" si="196"/>
        <v>0</v>
      </c>
      <c r="I241" s="95">
        <f t="shared" si="196"/>
        <v>0</v>
      </c>
      <c r="J241" s="95">
        <f t="shared" si="196"/>
        <v>0</v>
      </c>
      <c r="K241" s="95">
        <f t="shared" ref="K241:P241" si="197">IF(K240="",K239,K240)*K238</f>
        <v>0</v>
      </c>
      <c r="L241" s="95">
        <f t="shared" si="197"/>
        <v>0</v>
      </c>
      <c r="M241" s="95">
        <f t="shared" si="197"/>
        <v>0</v>
      </c>
      <c r="N241" s="95">
        <f t="shared" si="197"/>
        <v>0</v>
      </c>
      <c r="O241" s="95">
        <f t="shared" si="197"/>
        <v>0</v>
      </c>
      <c r="P241" s="95">
        <f t="shared" si="197"/>
        <v>0</v>
      </c>
      <c r="Q241" s="397"/>
      <c r="R241" s="82"/>
    </row>
    <row r="242" spans="2:18" hidden="1">
      <c r="B242" s="94" t="s">
        <v>533</v>
      </c>
      <c r="C242" s="181" t="s">
        <v>557</v>
      </c>
      <c r="D242" s="194"/>
      <c r="E242" s="82" t="s">
        <v>887</v>
      </c>
      <c r="F242" s="28" t="s">
        <v>123</v>
      </c>
      <c r="G242" s="464" t="s">
        <v>233</v>
      </c>
      <c r="H242" s="464" t="s">
        <v>233</v>
      </c>
      <c r="I242" s="464" t="s">
        <v>233</v>
      </c>
      <c r="J242" s="464" t="s">
        <v>233</v>
      </c>
      <c r="K242" s="464" t="s">
        <v>233</v>
      </c>
      <c r="L242" s="464" t="s">
        <v>233</v>
      </c>
      <c r="M242" s="464" t="s">
        <v>233</v>
      </c>
      <c r="N242" s="464" t="s">
        <v>233</v>
      </c>
      <c r="O242" s="464" t="s">
        <v>233</v>
      </c>
      <c r="P242" s="464" t="s">
        <v>233</v>
      </c>
      <c r="Q242" s="397"/>
      <c r="R242" s="82"/>
    </row>
    <row r="243" spans="2:18" hidden="1">
      <c r="B243" s="94" t="s">
        <v>533</v>
      </c>
      <c r="C243" s="183"/>
      <c r="D243" s="194"/>
      <c r="E243" s="49" t="s">
        <v>227</v>
      </c>
      <c r="F243" s="28" t="s">
        <v>234</v>
      </c>
      <c r="G243" s="54">
        <f t="shared" ref="G243:P243" si="198">_xlfn.XLOOKUP(G242,Long_haul_soil_amend_names_mass_CS,Long_haul_soil_amend_rates_mass_CS)</f>
        <v>0.11650973647112783</v>
      </c>
      <c r="H243" s="54">
        <f t="shared" si="198"/>
        <v>0.11650973647112783</v>
      </c>
      <c r="I243" s="54">
        <f t="shared" si="198"/>
        <v>0.11650973647112783</v>
      </c>
      <c r="J243" s="54">
        <f t="shared" si="198"/>
        <v>0.11650973647112783</v>
      </c>
      <c r="K243" s="54">
        <f t="shared" si="198"/>
        <v>0.11650973647112783</v>
      </c>
      <c r="L243" s="54">
        <f t="shared" si="198"/>
        <v>0.11650973647112783</v>
      </c>
      <c r="M243" s="54">
        <f t="shared" si="198"/>
        <v>0.11650973647112783</v>
      </c>
      <c r="N243" s="54">
        <f t="shared" si="198"/>
        <v>0.11650973647112783</v>
      </c>
      <c r="O243" s="54">
        <f t="shared" si="198"/>
        <v>0.11650973647112783</v>
      </c>
      <c r="P243" s="54">
        <f t="shared" si="198"/>
        <v>0.11650973647112783</v>
      </c>
      <c r="Q243" s="397"/>
      <c r="R243" s="44"/>
    </row>
    <row r="244" spans="2:18" hidden="1">
      <c r="B244" s="94" t="s">
        <v>533</v>
      </c>
      <c r="C244" s="183"/>
      <c r="D244" s="194"/>
      <c r="E244" s="55" t="s">
        <v>229</v>
      </c>
      <c r="F244" s="28" t="s">
        <v>234</v>
      </c>
      <c r="G244" s="537"/>
      <c r="H244" s="537"/>
      <c r="I244" s="537"/>
      <c r="J244" s="537"/>
      <c r="K244" s="537"/>
      <c r="L244" s="537"/>
      <c r="M244" s="537"/>
      <c r="N244" s="537"/>
      <c r="O244" s="537"/>
      <c r="P244" s="537"/>
      <c r="Q244" s="397"/>
      <c r="R244" s="82"/>
    </row>
    <row r="245" spans="2:18" hidden="1">
      <c r="B245" s="94" t="s">
        <v>533</v>
      </c>
      <c r="C245" s="185"/>
      <c r="D245" s="194"/>
      <c r="E245" s="49" t="s">
        <v>146</v>
      </c>
      <c r="F245" s="28" t="s">
        <v>207</v>
      </c>
      <c r="G245" s="99">
        <f t="shared" ref="G245:P245" si="199">G238*_xlfn.XLOOKUP(G242,Long_haul_distance_names_L,Long_haul_distances_average_L)*IF(G244="",G243,G244)</f>
        <v>0</v>
      </c>
      <c r="H245" s="99">
        <f t="shared" si="199"/>
        <v>0</v>
      </c>
      <c r="I245" s="99">
        <f t="shared" si="199"/>
        <v>0</v>
      </c>
      <c r="J245" s="99">
        <f t="shared" si="199"/>
        <v>0</v>
      </c>
      <c r="K245" s="99">
        <f t="shared" si="199"/>
        <v>0</v>
      </c>
      <c r="L245" s="99">
        <f t="shared" si="199"/>
        <v>0</v>
      </c>
      <c r="M245" s="99">
        <f t="shared" si="199"/>
        <v>0</v>
      </c>
      <c r="N245" s="99">
        <f t="shared" si="199"/>
        <v>0</v>
      </c>
      <c r="O245" s="99">
        <f t="shared" si="199"/>
        <v>0</v>
      </c>
      <c r="P245" s="99">
        <f t="shared" si="199"/>
        <v>0</v>
      </c>
      <c r="Q245" s="397"/>
      <c r="R245" s="82"/>
    </row>
    <row r="246" spans="2:18" hidden="1">
      <c r="B246" s="94" t="s">
        <v>533</v>
      </c>
      <c r="C246" s="181" t="s">
        <v>328</v>
      </c>
      <c r="D246" s="194"/>
      <c r="E246" s="55" t="s">
        <v>229</v>
      </c>
      <c r="F246" s="28" t="s">
        <v>329</v>
      </c>
      <c r="G246" s="537"/>
      <c r="H246" s="537"/>
      <c r="I246" s="537"/>
      <c r="J246" s="537"/>
      <c r="K246" s="537"/>
      <c r="L246" s="537"/>
      <c r="M246" s="537"/>
      <c r="N246" s="537"/>
      <c r="O246" s="537"/>
      <c r="P246" s="537"/>
      <c r="Q246" s="397"/>
      <c r="R246" s="82"/>
    </row>
    <row r="247" spans="2:18" hidden="1">
      <c r="B247" s="94" t="s">
        <v>533</v>
      </c>
      <c r="C247" s="183"/>
      <c r="D247" s="194"/>
      <c r="E247" s="49" t="s">
        <v>227</v>
      </c>
      <c r="F247" s="28" t="s">
        <v>329</v>
      </c>
      <c r="G247" s="54">
        <f>'Cost Schedule'!$D$9</f>
        <v>2323.4444444444448</v>
      </c>
      <c r="H247" s="54">
        <f>'Cost Schedule'!$D$9</f>
        <v>2323.4444444444448</v>
      </c>
      <c r="I247" s="54">
        <f>'Cost Schedule'!$D$9</f>
        <v>2323.4444444444448</v>
      </c>
      <c r="J247" s="54">
        <f>'Cost Schedule'!$D$9</f>
        <v>2323.4444444444448</v>
      </c>
      <c r="K247" s="54">
        <f>'Cost Schedule'!$D$9</f>
        <v>2323.4444444444448</v>
      </c>
      <c r="L247" s="54">
        <f>'Cost Schedule'!$D$9</f>
        <v>2323.4444444444448</v>
      </c>
      <c r="M247" s="54">
        <f>'Cost Schedule'!$D$9</f>
        <v>2323.4444444444448</v>
      </c>
      <c r="N247" s="54">
        <f>'Cost Schedule'!$D$9</f>
        <v>2323.4444444444448</v>
      </c>
      <c r="O247" s="54">
        <f>'Cost Schedule'!$D$9</f>
        <v>2323.4444444444448</v>
      </c>
      <c r="P247" s="54">
        <f>'Cost Schedule'!$D$9</f>
        <v>2323.4444444444448</v>
      </c>
      <c r="Q247" s="397"/>
      <c r="R247" s="44"/>
    </row>
    <row r="248" spans="2:18" hidden="1">
      <c r="B248" s="94" t="s">
        <v>533</v>
      </c>
      <c r="C248" s="185"/>
      <c r="D248" s="196"/>
      <c r="E248" s="49" t="s">
        <v>146</v>
      </c>
      <c r="F248" s="28" t="s">
        <v>207</v>
      </c>
      <c r="G248" s="100">
        <f t="shared" ref="G248:P248" si="200">G235*IF(G246="",G247,G246)</f>
        <v>0</v>
      </c>
      <c r="H248" s="100">
        <f t="shared" si="200"/>
        <v>0</v>
      </c>
      <c r="I248" s="100">
        <f t="shared" si="200"/>
        <v>0</v>
      </c>
      <c r="J248" s="100">
        <f t="shared" si="200"/>
        <v>0</v>
      </c>
      <c r="K248" s="100">
        <f t="shared" si="200"/>
        <v>0</v>
      </c>
      <c r="L248" s="100">
        <f t="shared" si="200"/>
        <v>0</v>
      </c>
      <c r="M248" s="100">
        <f t="shared" si="200"/>
        <v>0</v>
      </c>
      <c r="N248" s="100">
        <f t="shared" si="200"/>
        <v>0</v>
      </c>
      <c r="O248" s="100">
        <f t="shared" si="200"/>
        <v>0</v>
      </c>
      <c r="P248" s="100">
        <f t="shared" si="200"/>
        <v>0</v>
      </c>
      <c r="Q248" s="397"/>
      <c r="R248" s="82"/>
    </row>
    <row r="249" spans="2:18" hidden="1">
      <c r="B249" s="94" t="s">
        <v>533</v>
      </c>
      <c r="C249" s="158"/>
      <c r="D249" s="66"/>
      <c r="E249" s="67" t="str">
        <f>C233</f>
        <v>Source and apply ameliorants</v>
      </c>
      <c r="F249" s="72"/>
      <c r="G249" s="83">
        <f t="shared" ref="G249:P249" si="201">G241+G245+G248</f>
        <v>0</v>
      </c>
      <c r="H249" s="83">
        <f t="shared" si="201"/>
        <v>0</v>
      </c>
      <c r="I249" s="83">
        <f t="shared" si="201"/>
        <v>0</v>
      </c>
      <c r="J249" s="83">
        <f t="shared" si="201"/>
        <v>0</v>
      </c>
      <c r="K249" s="83">
        <f t="shared" si="201"/>
        <v>0</v>
      </c>
      <c r="L249" s="83">
        <f t="shared" si="201"/>
        <v>0</v>
      </c>
      <c r="M249" s="83">
        <f t="shared" si="201"/>
        <v>0</v>
      </c>
      <c r="N249" s="83">
        <f t="shared" si="201"/>
        <v>0</v>
      </c>
      <c r="O249" s="83">
        <f t="shared" si="201"/>
        <v>0</v>
      </c>
      <c r="P249" s="83">
        <f t="shared" si="201"/>
        <v>0</v>
      </c>
      <c r="Q249" s="397"/>
      <c r="R249" s="82"/>
    </row>
    <row r="250" spans="2:18" hidden="1">
      <c r="B250" s="154" t="s">
        <v>533</v>
      </c>
      <c r="C250" s="187" t="s">
        <v>560</v>
      </c>
      <c r="D250" s="192" t="s">
        <v>345</v>
      </c>
      <c r="E250" s="49" t="s">
        <v>623</v>
      </c>
      <c r="F250" s="28" t="s">
        <v>299</v>
      </c>
      <c r="G250" s="78">
        <f t="shared" ref="G250:P250" si="202">G39</f>
        <v>0</v>
      </c>
      <c r="H250" s="78">
        <f t="shared" si="202"/>
        <v>0</v>
      </c>
      <c r="I250" s="78">
        <f t="shared" si="202"/>
        <v>0</v>
      </c>
      <c r="J250" s="78">
        <f t="shared" si="202"/>
        <v>0</v>
      </c>
      <c r="K250" s="78">
        <f t="shared" si="202"/>
        <v>0</v>
      </c>
      <c r="L250" s="78">
        <f t="shared" si="202"/>
        <v>0</v>
      </c>
      <c r="M250" s="78">
        <f t="shared" si="202"/>
        <v>0</v>
      </c>
      <c r="N250" s="78">
        <f t="shared" si="202"/>
        <v>0</v>
      </c>
      <c r="O250" s="78">
        <f t="shared" si="202"/>
        <v>0</v>
      </c>
      <c r="P250" s="78">
        <f t="shared" si="202"/>
        <v>0</v>
      </c>
      <c r="Q250" s="509"/>
      <c r="R250" s="27"/>
    </row>
    <row r="251" spans="2:18" hidden="1">
      <c r="B251" s="154" t="s">
        <v>533</v>
      </c>
      <c r="C251" s="183"/>
      <c r="D251" s="194"/>
      <c r="E251" s="49" t="s">
        <v>624</v>
      </c>
      <c r="F251" s="28" t="s">
        <v>299</v>
      </c>
      <c r="G251" s="531"/>
      <c r="H251" s="531"/>
      <c r="I251" s="531"/>
      <c r="J251" s="531"/>
      <c r="K251" s="531"/>
      <c r="L251" s="531"/>
      <c r="M251" s="531"/>
      <c r="N251" s="531"/>
      <c r="O251" s="531"/>
      <c r="P251" s="531"/>
      <c r="Q251" s="509"/>
      <c r="R251" s="27"/>
    </row>
    <row r="252" spans="2:18" hidden="1">
      <c r="B252" s="154" t="s">
        <v>533</v>
      </c>
      <c r="C252" s="185"/>
      <c r="D252" s="194"/>
      <c r="E252" s="49" t="s">
        <v>625</v>
      </c>
      <c r="F252" s="28" t="s">
        <v>299</v>
      </c>
      <c r="G252" s="78">
        <f>IF(G251="",G250,G251)</f>
        <v>0</v>
      </c>
      <c r="H252" s="78">
        <f t="shared" ref="H252:P252" si="203">IF(H251="",H250,H251)</f>
        <v>0</v>
      </c>
      <c r="I252" s="78">
        <f t="shared" si="203"/>
        <v>0</v>
      </c>
      <c r="J252" s="78">
        <f t="shared" si="203"/>
        <v>0</v>
      </c>
      <c r="K252" s="78">
        <f t="shared" si="203"/>
        <v>0</v>
      </c>
      <c r="L252" s="78">
        <f t="shared" si="203"/>
        <v>0</v>
      </c>
      <c r="M252" s="78">
        <f t="shared" si="203"/>
        <v>0</v>
      </c>
      <c r="N252" s="78">
        <f t="shared" si="203"/>
        <v>0</v>
      </c>
      <c r="O252" s="78">
        <f t="shared" si="203"/>
        <v>0</v>
      </c>
      <c r="P252" s="78">
        <f t="shared" si="203"/>
        <v>0</v>
      </c>
      <c r="Q252" s="509"/>
      <c r="R252" s="27"/>
    </row>
    <row r="253" spans="2:18" ht="33.75" hidden="1">
      <c r="B253" s="154" t="s">
        <v>533</v>
      </c>
      <c r="C253" s="181" t="s">
        <v>344</v>
      </c>
      <c r="D253" s="194"/>
      <c r="E253" s="49" t="s">
        <v>333</v>
      </c>
      <c r="F253" s="28" t="s">
        <v>123</v>
      </c>
      <c r="G253" s="412" t="s">
        <v>346</v>
      </c>
      <c r="H253" s="412" t="s">
        <v>346</v>
      </c>
      <c r="I253" s="412" t="s">
        <v>347</v>
      </c>
      <c r="J253" s="412" t="s">
        <v>347</v>
      </c>
      <c r="K253" s="412" t="s">
        <v>348</v>
      </c>
      <c r="L253" s="412" t="s">
        <v>349</v>
      </c>
      <c r="M253" s="412" t="s">
        <v>661</v>
      </c>
      <c r="N253" s="412" t="s">
        <v>662</v>
      </c>
      <c r="O253" s="412" t="s">
        <v>350</v>
      </c>
      <c r="P253" s="412" t="s">
        <v>351</v>
      </c>
      <c r="Q253" s="509"/>
      <c r="R253" s="27"/>
    </row>
    <row r="254" spans="2:18" hidden="1">
      <c r="B254" s="154" t="s">
        <v>533</v>
      </c>
      <c r="C254" s="183"/>
      <c r="D254" s="194"/>
      <c r="E254" s="49" t="s">
        <v>227</v>
      </c>
      <c r="F254" s="28" t="s">
        <v>352</v>
      </c>
      <c r="G254" s="54">
        <f>_xlfn.XLOOKUP(G253,Rates_soil_seed_adds_names_R,Rates_soil_seed_adds_rates_R)</f>
        <v>150</v>
      </c>
      <c r="H254" s="54">
        <f t="shared" ref="H254:P254" si="204">_xlfn.XLOOKUP(H253,Rates_soil_seed_adds_names_R,Rates_soil_seed_adds_rates_R)</f>
        <v>150</v>
      </c>
      <c r="I254" s="54">
        <f t="shared" si="204"/>
        <v>350</v>
      </c>
      <c r="J254" s="54">
        <f t="shared" si="204"/>
        <v>350</v>
      </c>
      <c r="K254" s="54">
        <f t="shared" si="204"/>
        <v>5</v>
      </c>
      <c r="L254" s="54">
        <f t="shared" si="204"/>
        <v>15</v>
      </c>
      <c r="M254" s="54">
        <f t="shared" si="204"/>
        <v>17.647058823529413</v>
      </c>
      <c r="N254" s="54">
        <f t="shared" si="204"/>
        <v>920</v>
      </c>
      <c r="O254" s="54">
        <f t="shared" si="204"/>
        <v>17.647058823529413</v>
      </c>
      <c r="P254" s="54">
        <f t="shared" si="204"/>
        <v>920</v>
      </c>
      <c r="Q254" s="509"/>
      <c r="R254" s="27"/>
    </row>
    <row r="255" spans="2:18" hidden="1">
      <c r="B255" s="154" t="s">
        <v>533</v>
      </c>
      <c r="C255" s="183"/>
      <c r="D255" s="194"/>
      <c r="E255" s="49" t="s">
        <v>353</v>
      </c>
      <c r="G255" s="70" t="str">
        <f t="shared" ref="G255:P255" si="205">IF(G253=Arid,"",_xlfn.XLOOKUP(G253,Rates_soil_seed_adds_names_R,Rates_soil_seed_add_units_R))</f>
        <v>kg</v>
      </c>
      <c r="H255" s="70" t="str">
        <f t="shared" si="205"/>
        <v>kg</v>
      </c>
      <c r="I255" s="70" t="str">
        <f t="shared" si="205"/>
        <v>kg</v>
      </c>
      <c r="J255" s="70" t="str">
        <f t="shared" si="205"/>
        <v>kg</v>
      </c>
      <c r="K255" s="70" t="str">
        <f t="shared" si="205"/>
        <v>item</v>
      </c>
      <c r="L255" s="70" t="str">
        <f t="shared" si="205"/>
        <v>item</v>
      </c>
      <c r="M255" s="70" t="str">
        <f t="shared" si="205"/>
        <v>kg</v>
      </c>
      <c r="N255" s="70" t="str">
        <f t="shared" si="205"/>
        <v>kg</v>
      </c>
      <c r="O255" s="70" t="str">
        <f t="shared" si="205"/>
        <v>kg</v>
      </c>
      <c r="P255" s="70" t="str">
        <f t="shared" si="205"/>
        <v>kg</v>
      </c>
      <c r="Q255" s="509"/>
      <c r="R255" s="27"/>
    </row>
    <row r="256" spans="2:18" hidden="1">
      <c r="B256" s="154" t="s">
        <v>533</v>
      </c>
      <c r="C256" s="183"/>
      <c r="D256" s="194"/>
      <c r="E256" s="55" t="s">
        <v>229</v>
      </c>
      <c r="F256" s="28" t="s">
        <v>352</v>
      </c>
      <c r="G256" s="414"/>
      <c r="H256" s="414"/>
      <c r="I256" s="414"/>
      <c r="J256" s="414"/>
      <c r="K256" s="414"/>
      <c r="L256" s="414"/>
      <c r="M256" s="414"/>
      <c r="N256" s="414"/>
      <c r="O256" s="414"/>
      <c r="P256" s="414"/>
      <c r="Q256" s="509"/>
      <c r="R256" s="27"/>
    </row>
    <row r="257" spans="2:18" hidden="1">
      <c r="B257" s="154" t="s">
        <v>533</v>
      </c>
      <c r="C257" s="183"/>
      <c r="D257" s="194"/>
      <c r="E257" s="55" t="s">
        <v>320</v>
      </c>
      <c r="F257" s="28" t="s">
        <v>354</v>
      </c>
      <c r="G257" s="78">
        <f t="shared" ref="G257:P257" si="206">_xlfn.XLOOKUP(G253,Plant_and_seed_appln_rate_names_Assumptions,Plant_and_seed_appln_rates_rates_Assumptions)</f>
        <v>5</v>
      </c>
      <c r="H257" s="78">
        <f t="shared" si="206"/>
        <v>5</v>
      </c>
      <c r="I257" s="78">
        <f t="shared" si="206"/>
        <v>7</v>
      </c>
      <c r="J257" s="78">
        <f t="shared" si="206"/>
        <v>7</v>
      </c>
      <c r="K257" s="78">
        <f t="shared" si="206"/>
        <v>150</v>
      </c>
      <c r="L257" s="78">
        <f t="shared" si="206"/>
        <v>75</v>
      </c>
      <c r="M257" s="78">
        <f t="shared" si="206"/>
        <v>42.5</v>
      </c>
      <c r="N257" s="78">
        <f t="shared" si="206"/>
        <v>12.5</v>
      </c>
      <c r="O257" s="78">
        <f t="shared" si="206"/>
        <v>42.5</v>
      </c>
      <c r="P257" s="78">
        <f t="shared" si="206"/>
        <v>12.5</v>
      </c>
      <c r="Q257" s="509"/>
      <c r="R257" s="27"/>
    </row>
    <row r="258" spans="2:18" hidden="1">
      <c r="B258" s="154" t="s">
        <v>533</v>
      </c>
      <c r="C258" s="183"/>
      <c r="D258" s="194"/>
      <c r="E258" s="55" t="s">
        <v>355</v>
      </c>
      <c r="F258" s="28" t="s">
        <v>663</v>
      </c>
      <c r="G258" s="78">
        <f>G257*G252</f>
        <v>0</v>
      </c>
      <c r="H258" s="78">
        <f t="shared" ref="H258:P258" si="207">H257*H252</f>
        <v>0</v>
      </c>
      <c r="I258" s="78">
        <f t="shared" si="207"/>
        <v>0</v>
      </c>
      <c r="J258" s="78">
        <f t="shared" si="207"/>
        <v>0</v>
      </c>
      <c r="K258" s="78">
        <f t="shared" si="207"/>
        <v>0</v>
      </c>
      <c r="L258" s="78">
        <f t="shared" si="207"/>
        <v>0</v>
      </c>
      <c r="M258" s="78">
        <f t="shared" si="207"/>
        <v>0</v>
      </c>
      <c r="N258" s="78">
        <f t="shared" si="207"/>
        <v>0</v>
      </c>
      <c r="O258" s="78">
        <f t="shared" si="207"/>
        <v>0</v>
      </c>
      <c r="P258" s="78">
        <f t="shared" si="207"/>
        <v>0</v>
      </c>
      <c r="Q258" s="509"/>
      <c r="R258" s="27"/>
    </row>
    <row r="259" spans="2:18" hidden="1">
      <c r="B259" s="154" t="s">
        <v>533</v>
      </c>
      <c r="C259" s="185"/>
      <c r="D259" s="194"/>
      <c r="E259" s="49" t="s">
        <v>146</v>
      </c>
      <c r="F259" s="28" t="s">
        <v>207</v>
      </c>
      <c r="G259" s="79">
        <f>IF(G256="",G254,G256)*G258</f>
        <v>0</v>
      </c>
      <c r="H259" s="79">
        <f t="shared" ref="H259:P259" si="208">IF(H256="",H254,H256)*H258</f>
        <v>0</v>
      </c>
      <c r="I259" s="79">
        <f t="shared" si="208"/>
        <v>0</v>
      </c>
      <c r="J259" s="79">
        <f t="shared" si="208"/>
        <v>0</v>
      </c>
      <c r="K259" s="79">
        <f t="shared" si="208"/>
        <v>0</v>
      </c>
      <c r="L259" s="79">
        <f t="shared" si="208"/>
        <v>0</v>
      </c>
      <c r="M259" s="79">
        <f t="shared" si="208"/>
        <v>0</v>
      </c>
      <c r="N259" s="79">
        <f t="shared" si="208"/>
        <v>0</v>
      </c>
      <c r="O259" s="79">
        <f t="shared" si="208"/>
        <v>0</v>
      </c>
      <c r="P259" s="79">
        <f t="shared" si="208"/>
        <v>0</v>
      </c>
      <c r="Q259" s="509"/>
      <c r="R259" s="27"/>
    </row>
    <row r="260" spans="2:18" ht="56.25" hidden="1">
      <c r="B260" s="154" t="s">
        <v>533</v>
      </c>
      <c r="C260" s="181" t="s">
        <v>356</v>
      </c>
      <c r="D260" s="194"/>
      <c r="E260" s="49" t="s">
        <v>357</v>
      </c>
      <c r="F260" s="28" t="s">
        <v>123</v>
      </c>
      <c r="G260" s="412" t="s">
        <v>358</v>
      </c>
      <c r="H260" s="412" t="s">
        <v>359</v>
      </c>
      <c r="I260" s="412" t="s">
        <v>360</v>
      </c>
      <c r="J260" s="412" t="s">
        <v>361</v>
      </c>
      <c r="K260" s="412" t="s">
        <v>362</v>
      </c>
      <c r="L260" s="412" t="s">
        <v>363</v>
      </c>
      <c r="M260" s="412" t="s">
        <v>664</v>
      </c>
      <c r="N260" s="412" t="s">
        <v>665</v>
      </c>
      <c r="O260" s="412" t="s">
        <v>364</v>
      </c>
      <c r="P260" s="412" t="s">
        <v>365</v>
      </c>
      <c r="Q260" s="509"/>
      <c r="R260" s="27" t="s">
        <v>366</v>
      </c>
    </row>
    <row r="261" spans="2:18" hidden="1">
      <c r="B261" s="154" t="s">
        <v>533</v>
      </c>
      <c r="C261" s="183"/>
      <c r="D261" s="194"/>
      <c r="E261" s="49" t="s">
        <v>227</v>
      </c>
      <c r="F261" s="28" t="s">
        <v>299</v>
      </c>
      <c r="G261" s="54">
        <f t="shared" ref="G261:P261" si="209">IF(G253=Arid,0,_xlfn.XLOOKUP(G260,Plant_and_seed_apply_plant_names_CS,Plant_and_seed_apply_plant_rates_CS))</f>
        <v>539.45026666666672</v>
      </c>
      <c r="H261" s="54">
        <f t="shared" si="209"/>
        <v>265.67200000000003</v>
      </c>
      <c r="I261" s="54">
        <f t="shared" si="209"/>
        <v>539.45026666666672</v>
      </c>
      <c r="J261" s="54">
        <f t="shared" si="209"/>
        <v>265.67200000000003</v>
      </c>
      <c r="K261" s="54">
        <f t="shared" si="209"/>
        <v>218.42099999999999</v>
      </c>
      <c r="L261" s="54">
        <f t="shared" si="209"/>
        <v>634.21050000000002</v>
      </c>
      <c r="M261" s="54">
        <f t="shared" si="209"/>
        <v>3960</v>
      </c>
      <c r="N261" s="54">
        <f t="shared" si="209"/>
        <v>3960</v>
      </c>
      <c r="O261" s="54">
        <f t="shared" si="209"/>
        <v>46000</v>
      </c>
      <c r="P261" s="54">
        <f t="shared" si="209"/>
        <v>46000</v>
      </c>
      <c r="Q261" s="509"/>
      <c r="R261" s="27"/>
    </row>
    <row r="262" spans="2:18" hidden="1">
      <c r="B262" s="154" t="s">
        <v>533</v>
      </c>
      <c r="C262" s="183"/>
      <c r="D262" s="194"/>
      <c r="E262" s="55" t="s">
        <v>229</v>
      </c>
      <c r="F262" s="28" t="s">
        <v>329</v>
      </c>
      <c r="G262" s="414"/>
      <c r="H262" s="414"/>
      <c r="I262" s="414"/>
      <c r="J262" s="414"/>
      <c r="K262" s="414"/>
      <c r="L262" s="414"/>
      <c r="M262" s="414"/>
      <c r="N262" s="414"/>
      <c r="O262" s="414"/>
      <c r="P262" s="414"/>
      <c r="Q262" s="509"/>
      <c r="R262" s="27"/>
    </row>
    <row r="263" spans="2:18" hidden="1">
      <c r="B263" s="154" t="s">
        <v>533</v>
      </c>
      <c r="C263" s="185"/>
      <c r="D263" s="194"/>
      <c r="E263" s="49" t="s">
        <v>146</v>
      </c>
      <c r="F263" s="28" t="s">
        <v>207</v>
      </c>
      <c r="G263" s="79">
        <f>G$252*IF(G262="",G261,G262)</f>
        <v>0</v>
      </c>
      <c r="H263" s="79">
        <f t="shared" ref="H263:P263" si="210">H$252*IF(H262="",H261,H262)</f>
        <v>0</v>
      </c>
      <c r="I263" s="79">
        <f t="shared" si="210"/>
        <v>0</v>
      </c>
      <c r="J263" s="79">
        <f t="shared" si="210"/>
        <v>0</v>
      </c>
      <c r="K263" s="79">
        <f t="shared" si="210"/>
        <v>0</v>
      </c>
      <c r="L263" s="79">
        <f t="shared" si="210"/>
        <v>0</v>
      </c>
      <c r="M263" s="79">
        <f t="shared" si="210"/>
        <v>0</v>
      </c>
      <c r="N263" s="79">
        <f t="shared" si="210"/>
        <v>0</v>
      </c>
      <c r="O263" s="79">
        <f t="shared" si="210"/>
        <v>0</v>
      </c>
      <c r="P263" s="79">
        <f t="shared" si="210"/>
        <v>0</v>
      </c>
      <c r="Q263" s="509"/>
      <c r="R263" s="27"/>
    </row>
    <row r="264" spans="2:18" ht="56.25" hidden="1">
      <c r="B264" s="154" t="s">
        <v>533</v>
      </c>
      <c r="C264" s="181" t="s">
        <v>367</v>
      </c>
      <c r="D264" s="194"/>
      <c r="E264" s="49" t="s">
        <v>357</v>
      </c>
      <c r="F264" s="28" t="s">
        <v>123</v>
      </c>
      <c r="G264" s="412" t="s">
        <v>368</v>
      </c>
      <c r="H264" s="412" t="s">
        <v>369</v>
      </c>
      <c r="I264" s="412" t="s">
        <v>370</v>
      </c>
      <c r="J264" s="412" t="s">
        <v>371</v>
      </c>
      <c r="K264" s="412" t="s">
        <v>372</v>
      </c>
      <c r="L264" s="412" t="s">
        <v>373</v>
      </c>
      <c r="M264" s="412" t="s">
        <v>666</v>
      </c>
      <c r="N264" s="412" t="s">
        <v>667</v>
      </c>
      <c r="O264" s="412" t="s">
        <v>374</v>
      </c>
      <c r="P264" s="412" t="s">
        <v>375</v>
      </c>
      <c r="Q264" s="509"/>
      <c r="R264" s="27"/>
    </row>
    <row r="265" spans="2:18" hidden="1">
      <c r="B265" s="154" t="s">
        <v>533</v>
      </c>
      <c r="C265" s="183"/>
      <c r="D265" s="194"/>
      <c r="E265" s="49" t="s">
        <v>227</v>
      </c>
      <c r="F265" s="28" t="s">
        <v>299</v>
      </c>
      <c r="G265" s="54">
        <f t="shared" ref="G265:P265" si="211">IF(G253=Arid,0,_xlfn.XLOOKUP(G264,Plant_and_seed_fertiliser_buy_names_CS,Plant_and_seed_fertiliser_buy_rates_CS))</f>
        <v>337.65264299999996</v>
      </c>
      <c r="H265" s="54">
        <f t="shared" si="211"/>
        <v>337.65264299999996</v>
      </c>
      <c r="I265" s="54">
        <f t="shared" si="211"/>
        <v>50</v>
      </c>
      <c r="J265" s="54">
        <f t="shared" si="211"/>
        <v>50</v>
      </c>
      <c r="K265" s="54">
        <f t="shared" si="211"/>
        <v>50</v>
      </c>
      <c r="L265" s="54">
        <f t="shared" si="211"/>
        <v>50</v>
      </c>
      <c r="M265" s="54">
        <f t="shared" si="211"/>
        <v>365.79036324999993</v>
      </c>
      <c r="N265" s="54">
        <f t="shared" si="211"/>
        <v>162.5</v>
      </c>
      <c r="O265" s="54">
        <f t="shared" si="211"/>
        <v>365.79036324999993</v>
      </c>
      <c r="P265" s="54">
        <f t="shared" si="211"/>
        <v>365.79036324999993</v>
      </c>
      <c r="Q265" s="509"/>
      <c r="R265" s="27"/>
    </row>
    <row r="266" spans="2:18" hidden="1">
      <c r="B266" s="154" t="s">
        <v>533</v>
      </c>
      <c r="C266" s="183"/>
      <c r="D266" s="194"/>
      <c r="E266" s="55" t="s">
        <v>229</v>
      </c>
      <c r="F266" s="28" t="s">
        <v>329</v>
      </c>
      <c r="G266" s="414"/>
      <c r="H266" s="414"/>
      <c r="I266" s="414"/>
      <c r="J266" s="414"/>
      <c r="K266" s="414"/>
      <c r="L266" s="414"/>
      <c r="M266" s="414"/>
      <c r="N266" s="414"/>
      <c r="O266" s="414"/>
      <c r="P266" s="414"/>
      <c r="Q266" s="509"/>
      <c r="R266" s="27"/>
    </row>
    <row r="267" spans="2:18" hidden="1">
      <c r="B267" s="154" t="s">
        <v>533</v>
      </c>
      <c r="C267" s="185"/>
      <c r="D267" s="194"/>
      <c r="E267" s="49" t="s">
        <v>146</v>
      </c>
      <c r="F267" s="28" t="s">
        <v>207</v>
      </c>
      <c r="G267" s="79">
        <f>G$252*IF(G266="",G265,G266)</f>
        <v>0</v>
      </c>
      <c r="H267" s="79">
        <f t="shared" ref="H267" si="212">H$252*IF(H266="",H265,H266)</f>
        <v>0</v>
      </c>
      <c r="I267" s="79">
        <f t="shared" ref="I267" si="213">I$252*IF(I266="",I265,I266)</f>
        <v>0</v>
      </c>
      <c r="J267" s="79">
        <f t="shared" ref="J267" si="214">J$252*IF(J266="",J265,J266)</f>
        <v>0</v>
      </c>
      <c r="K267" s="79">
        <f t="shared" ref="K267" si="215">K$252*IF(K266="",K265,K266)</f>
        <v>0</v>
      </c>
      <c r="L267" s="79">
        <f t="shared" ref="L267" si="216">L$252*IF(L266="",L265,L266)</f>
        <v>0</v>
      </c>
      <c r="M267" s="79">
        <f t="shared" ref="M267" si="217">M$252*IF(M266="",M265,M266)</f>
        <v>0</v>
      </c>
      <c r="N267" s="79">
        <f t="shared" ref="N267" si="218">N$252*IF(N266="",N265,N266)</f>
        <v>0</v>
      </c>
      <c r="O267" s="79">
        <f t="shared" ref="O267" si="219">O$252*IF(O266="",O265,O266)</f>
        <v>0</v>
      </c>
      <c r="P267" s="79">
        <f t="shared" ref="P267" si="220">P$252*IF(P266="",P265,P266)</f>
        <v>0</v>
      </c>
      <c r="Q267" s="509"/>
      <c r="R267" s="27"/>
    </row>
    <row r="268" spans="2:18" ht="56.25" hidden="1">
      <c r="B268" s="154" t="s">
        <v>533</v>
      </c>
      <c r="C268" s="181" t="s">
        <v>376</v>
      </c>
      <c r="D268" s="194"/>
      <c r="E268" s="49" t="s">
        <v>357</v>
      </c>
      <c r="F268" s="28" t="s">
        <v>123</v>
      </c>
      <c r="G268" s="412" t="s">
        <v>377</v>
      </c>
      <c r="H268" s="412" t="s">
        <v>378</v>
      </c>
      <c r="I268" s="412" t="s">
        <v>379</v>
      </c>
      <c r="J268" s="412" t="s">
        <v>380</v>
      </c>
      <c r="K268" s="412" t="s">
        <v>381</v>
      </c>
      <c r="L268" s="412" t="s">
        <v>382</v>
      </c>
      <c r="M268" s="412" t="s">
        <v>668</v>
      </c>
      <c r="N268" s="412" t="s">
        <v>669</v>
      </c>
      <c r="O268" s="412" t="s">
        <v>383</v>
      </c>
      <c r="P268" s="412" t="s">
        <v>384</v>
      </c>
      <c r="Q268" s="509"/>
      <c r="R268" s="27"/>
    </row>
    <row r="269" spans="2:18" hidden="1">
      <c r="B269" s="154" t="s">
        <v>533</v>
      </c>
      <c r="C269" s="183"/>
      <c r="D269" s="194"/>
      <c r="E269" s="49" t="s">
        <v>227</v>
      </c>
      <c r="F269" s="28" t="s">
        <v>299</v>
      </c>
      <c r="G269" s="54">
        <f t="shared" ref="G269:P269" si="221">IF(G253=Arid,0,_xlfn.XLOOKUP(G268,Plant_and_seed_apply_fertiliser_names_CS,Plant_and_seed_fertiliser_apply_rates_CS))</f>
        <v>151.0736</v>
      </c>
      <c r="H269" s="54">
        <f t="shared" si="221"/>
        <v>39.473333333333336</v>
      </c>
      <c r="I269" s="54">
        <f t="shared" si="221"/>
        <v>151.0736</v>
      </c>
      <c r="J269" s="54">
        <f t="shared" si="221"/>
        <v>39.473333333333336</v>
      </c>
      <c r="K269" s="54">
        <f t="shared" si="221"/>
        <v>9.4736000000000011</v>
      </c>
      <c r="L269" s="54">
        <f t="shared" si="221"/>
        <v>9.4736000000000011</v>
      </c>
      <c r="M269" s="54">
        <f t="shared" si="221"/>
        <v>0</v>
      </c>
      <c r="N269" s="54">
        <f t="shared" si="221"/>
        <v>0</v>
      </c>
      <c r="O269" s="54">
        <f t="shared" si="221"/>
        <v>0</v>
      </c>
      <c r="P269" s="54">
        <f t="shared" si="221"/>
        <v>0</v>
      </c>
      <c r="Q269" s="509"/>
      <c r="R269" s="27" t="s">
        <v>385</v>
      </c>
    </row>
    <row r="270" spans="2:18" hidden="1">
      <c r="B270" s="154" t="s">
        <v>533</v>
      </c>
      <c r="C270" s="183"/>
      <c r="D270" s="194"/>
      <c r="E270" s="55" t="s">
        <v>229</v>
      </c>
      <c r="F270" s="28" t="s">
        <v>329</v>
      </c>
      <c r="G270" s="414"/>
      <c r="H270" s="414"/>
      <c r="I270" s="414"/>
      <c r="J270" s="414"/>
      <c r="K270" s="414"/>
      <c r="L270" s="414"/>
      <c r="M270" s="414"/>
      <c r="N270" s="414"/>
      <c r="O270" s="414"/>
      <c r="P270" s="414"/>
      <c r="Q270" s="509"/>
      <c r="R270" s="27"/>
    </row>
    <row r="271" spans="2:18" hidden="1">
      <c r="B271" s="154" t="s">
        <v>533</v>
      </c>
      <c r="C271" s="185"/>
      <c r="D271" s="194"/>
      <c r="E271" s="49" t="s">
        <v>146</v>
      </c>
      <c r="F271" s="28" t="s">
        <v>207</v>
      </c>
      <c r="G271" s="79">
        <f>G$252*IF(G270="",G269,G270)</f>
        <v>0</v>
      </c>
      <c r="H271" s="79">
        <f t="shared" ref="H271" si="222">H$252*IF(H270="",H269,H270)</f>
        <v>0</v>
      </c>
      <c r="I271" s="79">
        <f t="shared" ref="I271" si="223">I$252*IF(I270="",I269,I270)</f>
        <v>0</v>
      </c>
      <c r="J271" s="79">
        <f t="shared" ref="J271" si="224">J$252*IF(J270="",J269,J270)</f>
        <v>0</v>
      </c>
      <c r="K271" s="79">
        <f t="shared" ref="K271" si="225">K$252*IF(K270="",K269,K270)</f>
        <v>0</v>
      </c>
      <c r="L271" s="79">
        <f t="shared" ref="L271" si="226">L$252*IF(L270="",L269,L270)</f>
        <v>0</v>
      </c>
      <c r="M271" s="79">
        <f t="shared" ref="M271" si="227">M$252*IF(M270="",M269,M270)</f>
        <v>0</v>
      </c>
      <c r="N271" s="79">
        <f t="shared" ref="N271" si="228">N$252*IF(N270="",N269,N270)</f>
        <v>0</v>
      </c>
      <c r="O271" s="79">
        <f t="shared" ref="O271" si="229">O$252*IF(O270="",O269,O270)</f>
        <v>0</v>
      </c>
      <c r="P271" s="79">
        <f t="shared" ref="P271" si="230">P$252*IF(P270="",P269,P270)</f>
        <v>0</v>
      </c>
      <c r="Q271" s="509"/>
      <c r="R271" s="27"/>
    </row>
    <row r="272" spans="2:18" ht="45" hidden="1">
      <c r="B272" s="154" t="s">
        <v>533</v>
      </c>
      <c r="C272" s="181" t="s">
        <v>386</v>
      </c>
      <c r="D272" s="194"/>
      <c r="E272" s="49" t="s">
        <v>357</v>
      </c>
      <c r="F272" s="28" t="s">
        <v>123</v>
      </c>
      <c r="G272" s="412" t="s">
        <v>387</v>
      </c>
      <c r="H272" s="412" t="s">
        <v>388</v>
      </c>
      <c r="I272" s="412" t="s">
        <v>389</v>
      </c>
      <c r="J272" s="412" t="s">
        <v>390</v>
      </c>
      <c r="K272" s="412" t="s">
        <v>391</v>
      </c>
      <c r="L272" s="412" t="s">
        <v>392</v>
      </c>
      <c r="M272" s="412" t="s">
        <v>827</v>
      </c>
      <c r="N272" s="412" t="s">
        <v>670</v>
      </c>
      <c r="O272" s="412" t="s">
        <v>393</v>
      </c>
      <c r="P272" s="412" t="s">
        <v>394</v>
      </c>
      <c r="Q272" s="509"/>
      <c r="R272" s="27"/>
    </row>
    <row r="273" spans="2:18" hidden="1">
      <c r="B273" s="154" t="s">
        <v>533</v>
      </c>
      <c r="C273" s="183"/>
      <c r="D273" s="194"/>
      <c r="E273" s="49" t="s">
        <v>227</v>
      </c>
      <c r="F273" s="28" t="s">
        <v>299</v>
      </c>
      <c r="G273" s="54">
        <f t="shared" ref="G273:P273" si="231">IF(G253=Arid,0,_xlfn.XLOOKUP(G272,Plant_and_seed_buy_water_names_CS,Plant_and_seed_water_buy_rates_CS))</f>
        <v>1200</v>
      </c>
      <c r="H273" s="54">
        <f t="shared" si="231"/>
        <v>1200</v>
      </c>
      <c r="I273" s="54">
        <f t="shared" si="231"/>
        <v>1200</v>
      </c>
      <c r="J273" s="54">
        <f t="shared" si="231"/>
        <v>1200</v>
      </c>
      <c r="K273" s="54">
        <f t="shared" si="231"/>
        <v>100</v>
      </c>
      <c r="L273" s="54">
        <f t="shared" si="231"/>
        <v>100</v>
      </c>
      <c r="M273" s="54">
        <f t="shared" si="231"/>
        <v>600</v>
      </c>
      <c r="N273" s="54">
        <f t="shared" si="231"/>
        <v>600</v>
      </c>
      <c r="O273" s="54">
        <f t="shared" si="231"/>
        <v>600</v>
      </c>
      <c r="P273" s="54">
        <f t="shared" si="231"/>
        <v>1200</v>
      </c>
      <c r="Q273" s="509"/>
      <c r="R273" s="27" t="s">
        <v>395</v>
      </c>
    </row>
    <row r="274" spans="2:18" hidden="1">
      <c r="B274" s="154" t="s">
        <v>533</v>
      </c>
      <c r="C274" s="183"/>
      <c r="D274" s="194"/>
      <c r="E274" s="55" t="s">
        <v>229</v>
      </c>
      <c r="F274" s="28" t="s">
        <v>329</v>
      </c>
      <c r="G274" s="414"/>
      <c r="H274" s="414"/>
      <c r="I274" s="414"/>
      <c r="J274" s="414"/>
      <c r="K274" s="414"/>
      <c r="L274" s="414"/>
      <c r="M274" s="414"/>
      <c r="N274" s="414"/>
      <c r="O274" s="414"/>
      <c r="P274" s="414"/>
      <c r="Q274" s="509"/>
      <c r="R274" s="27"/>
    </row>
    <row r="275" spans="2:18" hidden="1">
      <c r="B275" s="154" t="s">
        <v>533</v>
      </c>
      <c r="C275" s="185"/>
      <c r="D275" s="194"/>
      <c r="E275" s="49" t="s">
        <v>146</v>
      </c>
      <c r="F275" s="28" t="s">
        <v>207</v>
      </c>
      <c r="G275" s="79">
        <f>G$252*IF(G274="",G273,G274)</f>
        <v>0</v>
      </c>
      <c r="H275" s="79">
        <f t="shared" ref="H275" si="232">H$252*IF(H274="",H273,H274)</f>
        <v>0</v>
      </c>
      <c r="I275" s="79">
        <f t="shared" ref="I275" si="233">I$252*IF(I274="",I273,I274)</f>
        <v>0</v>
      </c>
      <c r="J275" s="79">
        <f t="shared" ref="J275" si="234">J$252*IF(J274="",J273,J274)</f>
        <v>0</v>
      </c>
      <c r="K275" s="79">
        <f t="shared" ref="K275" si="235">K$252*IF(K274="",K273,K274)</f>
        <v>0</v>
      </c>
      <c r="L275" s="79">
        <f t="shared" ref="L275" si="236">L$252*IF(L274="",L273,L274)</f>
        <v>0</v>
      </c>
      <c r="M275" s="79">
        <f t="shared" ref="M275" si="237">M$252*IF(M274="",M273,M274)</f>
        <v>0</v>
      </c>
      <c r="N275" s="79">
        <f t="shared" ref="N275" si="238">N$252*IF(N274="",N273,N274)</f>
        <v>0</v>
      </c>
      <c r="O275" s="79">
        <f t="shared" ref="O275" si="239">O$252*IF(O274="",O273,O274)</f>
        <v>0</v>
      </c>
      <c r="P275" s="79">
        <f t="shared" ref="P275" si="240">P$252*IF(P274="",P273,P274)</f>
        <v>0</v>
      </c>
      <c r="Q275" s="509"/>
      <c r="R275" s="27"/>
    </row>
    <row r="276" spans="2:18" ht="56.25" hidden="1">
      <c r="B276" s="154" t="s">
        <v>533</v>
      </c>
      <c r="C276" s="181" t="s">
        <v>396</v>
      </c>
      <c r="D276" s="194"/>
      <c r="E276" s="49" t="s">
        <v>357</v>
      </c>
      <c r="F276" s="28" t="s">
        <v>123</v>
      </c>
      <c r="G276" s="412" t="s">
        <v>397</v>
      </c>
      <c r="H276" s="412" t="s">
        <v>398</v>
      </c>
      <c r="I276" s="412" t="s">
        <v>399</v>
      </c>
      <c r="J276" s="412" t="s">
        <v>400</v>
      </c>
      <c r="K276" s="412" t="s">
        <v>401</v>
      </c>
      <c r="L276" s="412" t="s">
        <v>402</v>
      </c>
      <c r="M276" s="412" t="s">
        <v>671</v>
      </c>
      <c r="N276" s="412" t="s">
        <v>672</v>
      </c>
      <c r="O276" s="412" t="s">
        <v>403</v>
      </c>
      <c r="P276" s="412" t="s">
        <v>404</v>
      </c>
      <c r="Q276" s="509"/>
      <c r="R276" s="27"/>
    </row>
    <row r="277" spans="2:18" hidden="1">
      <c r="B277" s="154" t="s">
        <v>533</v>
      </c>
      <c r="C277" s="183"/>
      <c r="D277" s="194"/>
      <c r="E277" s="49" t="s">
        <v>227</v>
      </c>
      <c r="F277" s="28" t="s">
        <v>299</v>
      </c>
      <c r="G277" s="54">
        <f t="shared" ref="G277:P277" si="241">IF(G253=Arid,0,_xlfn.XLOOKUP(G276,Plant_and_seed_apply_water_names_CS,Plant_and_seed_apply_water_rates_CS))</f>
        <v>167.66666666666666</v>
      </c>
      <c r="H277" s="54">
        <f t="shared" si="241"/>
        <v>167.66666666666666</v>
      </c>
      <c r="I277" s="54">
        <f t="shared" si="241"/>
        <v>167.66666666666666</v>
      </c>
      <c r="J277" s="54">
        <f t="shared" si="241"/>
        <v>167.66666666666666</v>
      </c>
      <c r="K277" s="54">
        <f t="shared" si="241"/>
        <v>167.66666666666666</v>
      </c>
      <c r="L277" s="54">
        <f t="shared" si="241"/>
        <v>167.66666666666666</v>
      </c>
      <c r="M277" s="54">
        <f t="shared" si="241"/>
        <v>188.625</v>
      </c>
      <c r="N277" s="54">
        <f t="shared" si="241"/>
        <v>188.625</v>
      </c>
      <c r="O277" s="54">
        <f t="shared" si="241"/>
        <v>18.862500000000001</v>
      </c>
      <c r="P277" s="54">
        <f t="shared" si="241"/>
        <v>18.862500000000001</v>
      </c>
      <c r="Q277" s="509"/>
      <c r="R277" s="27" t="s">
        <v>405</v>
      </c>
    </row>
    <row r="278" spans="2:18" hidden="1">
      <c r="B278" s="154" t="s">
        <v>533</v>
      </c>
      <c r="C278" s="183"/>
      <c r="D278" s="194"/>
      <c r="E278" s="55" t="s">
        <v>229</v>
      </c>
      <c r="F278" s="28" t="s">
        <v>329</v>
      </c>
      <c r="G278" s="414"/>
      <c r="H278" s="414"/>
      <c r="I278" s="414"/>
      <c r="J278" s="414"/>
      <c r="K278" s="414"/>
      <c r="L278" s="414"/>
      <c r="M278" s="414"/>
      <c r="N278" s="414"/>
      <c r="O278" s="414"/>
      <c r="P278" s="414"/>
      <c r="Q278" s="509"/>
      <c r="R278" s="27"/>
    </row>
    <row r="279" spans="2:18" hidden="1">
      <c r="B279" s="154" t="s">
        <v>533</v>
      </c>
      <c r="C279" s="185"/>
      <c r="D279" s="196"/>
      <c r="E279" s="49" t="s">
        <v>146</v>
      </c>
      <c r="F279" s="28" t="s">
        <v>207</v>
      </c>
      <c r="G279" s="79">
        <f>G$252*IF(G278="",G277,G278)</f>
        <v>0</v>
      </c>
      <c r="H279" s="79">
        <f t="shared" ref="H279" si="242">H$252*IF(H278="",H277,H278)</f>
        <v>0</v>
      </c>
      <c r="I279" s="79">
        <f t="shared" ref="I279" si="243">I$252*IF(I278="",I277,I278)</f>
        <v>0</v>
      </c>
      <c r="J279" s="79">
        <f t="shared" ref="J279" si="244">J$252*IF(J278="",J277,J278)</f>
        <v>0</v>
      </c>
      <c r="K279" s="79">
        <f t="shared" ref="K279" si="245">K$252*IF(K278="",K277,K278)</f>
        <v>0</v>
      </c>
      <c r="L279" s="79">
        <f t="shared" ref="L279" si="246">L$252*IF(L278="",L277,L278)</f>
        <v>0</v>
      </c>
      <c r="M279" s="79">
        <f t="shared" ref="M279" si="247">M$252*IF(M278="",M277,M278)</f>
        <v>0</v>
      </c>
      <c r="N279" s="79">
        <f t="shared" ref="N279" si="248">N$252*IF(N278="",N277,N278)</f>
        <v>0</v>
      </c>
      <c r="O279" s="79">
        <f t="shared" ref="O279" si="249">O$252*IF(O278="",O277,O278)</f>
        <v>0</v>
      </c>
      <c r="P279" s="79">
        <f t="shared" ref="P279" si="250">P$252*IF(P278="",P277,P278)</f>
        <v>0</v>
      </c>
      <c r="Q279" s="509"/>
      <c r="R279" s="27"/>
    </row>
    <row r="280" spans="2:18" ht="12" hidden="1" thickBot="1">
      <c r="B280" s="154" t="s">
        <v>533</v>
      </c>
      <c r="C280" s="158"/>
      <c r="D280" s="66"/>
      <c r="E280" s="67" t="str">
        <f>C250</f>
        <v>Revegetate</v>
      </c>
      <c r="F280" s="72"/>
      <c r="G280" s="64">
        <f>G259+G263+G267+G271+G275+G279</f>
        <v>0</v>
      </c>
      <c r="H280" s="64">
        <f t="shared" ref="H280:P280" si="251">H259+H263+H267+H271+H275+H279</f>
        <v>0</v>
      </c>
      <c r="I280" s="64">
        <f t="shared" si="251"/>
        <v>0</v>
      </c>
      <c r="J280" s="64">
        <f t="shared" si="251"/>
        <v>0</v>
      </c>
      <c r="K280" s="64">
        <f t="shared" si="251"/>
        <v>0</v>
      </c>
      <c r="L280" s="64">
        <f t="shared" si="251"/>
        <v>0</v>
      </c>
      <c r="M280" s="64">
        <f t="shared" si="251"/>
        <v>0</v>
      </c>
      <c r="N280" s="64">
        <f t="shared" si="251"/>
        <v>0</v>
      </c>
      <c r="O280" s="64">
        <f t="shared" si="251"/>
        <v>0</v>
      </c>
      <c r="P280" s="64">
        <f t="shared" si="251"/>
        <v>0</v>
      </c>
      <c r="Q280" s="509"/>
      <c r="R280" s="27"/>
    </row>
    <row r="281" spans="2:18" hidden="1">
      <c r="B281" s="94" t="s">
        <v>533</v>
      </c>
      <c r="C281" s="187" t="s">
        <v>828</v>
      </c>
      <c r="D281" s="192" t="s">
        <v>705</v>
      </c>
      <c r="E281" s="49" t="s">
        <v>623</v>
      </c>
      <c r="F281" s="28" t="s">
        <v>299</v>
      </c>
      <c r="G281" s="78">
        <f t="shared" ref="G281:P281" si="252">G$39</f>
        <v>0</v>
      </c>
      <c r="H281" s="78">
        <f t="shared" si="252"/>
        <v>0</v>
      </c>
      <c r="I281" s="78">
        <f t="shared" si="252"/>
        <v>0</v>
      </c>
      <c r="J281" s="78">
        <f t="shared" si="252"/>
        <v>0</v>
      </c>
      <c r="K281" s="78">
        <f t="shared" si="252"/>
        <v>0</v>
      </c>
      <c r="L281" s="78">
        <f t="shared" si="252"/>
        <v>0</v>
      </c>
      <c r="M281" s="78">
        <f t="shared" si="252"/>
        <v>0</v>
      </c>
      <c r="N281" s="78">
        <f t="shared" si="252"/>
        <v>0</v>
      </c>
      <c r="O281" s="78">
        <f t="shared" si="252"/>
        <v>0</v>
      </c>
      <c r="P281" s="78">
        <f t="shared" si="252"/>
        <v>0</v>
      </c>
      <c r="Q281" s="397"/>
      <c r="R281" s="44"/>
    </row>
    <row r="282" spans="2:18" hidden="1">
      <c r="B282" s="94" t="s">
        <v>533</v>
      </c>
      <c r="C282" s="183"/>
      <c r="D282" s="196"/>
      <c r="E282" s="49" t="s">
        <v>624</v>
      </c>
      <c r="F282" s="28" t="s">
        <v>299</v>
      </c>
      <c r="G282" s="533"/>
      <c r="H282" s="533"/>
      <c r="I282" s="533"/>
      <c r="J282" s="533"/>
      <c r="K282" s="533"/>
      <c r="L282" s="533"/>
      <c r="M282" s="533"/>
      <c r="N282" s="533"/>
      <c r="O282" s="533"/>
      <c r="P282" s="533"/>
      <c r="Q282" s="397"/>
      <c r="R282" s="82"/>
    </row>
    <row r="283" spans="2:18" hidden="1">
      <c r="B283" s="94" t="s">
        <v>533</v>
      </c>
      <c r="C283" s="183"/>
      <c r="D283" s="192" t="s">
        <v>829</v>
      </c>
      <c r="E283" s="49" t="s">
        <v>625</v>
      </c>
      <c r="F283" s="28" t="s">
        <v>299</v>
      </c>
      <c r="G283" s="78">
        <f t="shared" ref="G283:J283" si="253">IF(G282="",G281,G282)</f>
        <v>0</v>
      </c>
      <c r="H283" s="78">
        <f t="shared" si="253"/>
        <v>0</v>
      </c>
      <c r="I283" s="78">
        <f t="shared" si="253"/>
        <v>0</v>
      </c>
      <c r="J283" s="78">
        <f t="shared" si="253"/>
        <v>0</v>
      </c>
      <c r="K283" s="78">
        <f t="shared" ref="K283:P283" si="254">IF(K282="",K281,K282)</f>
        <v>0</v>
      </c>
      <c r="L283" s="78">
        <f t="shared" si="254"/>
        <v>0</v>
      </c>
      <c r="M283" s="78">
        <f t="shared" si="254"/>
        <v>0</v>
      </c>
      <c r="N283" s="78">
        <f t="shared" si="254"/>
        <v>0</v>
      </c>
      <c r="O283" s="78">
        <f t="shared" si="254"/>
        <v>0</v>
      </c>
      <c r="P283" s="78">
        <f t="shared" si="254"/>
        <v>0</v>
      </c>
      <c r="Q283" s="397"/>
      <c r="R283" s="44"/>
    </row>
    <row r="284" spans="2:18" hidden="1">
      <c r="B284" s="94" t="s">
        <v>533</v>
      </c>
      <c r="C284" s="183"/>
      <c r="D284" s="194"/>
      <c r="E284" s="49" t="s">
        <v>830</v>
      </c>
      <c r="F284" s="28" t="s">
        <v>831</v>
      </c>
      <c r="G284" s="78">
        <f t="shared" ref="G284:P284" si="255">Permeability_Testing_points_frequency</f>
        <v>1</v>
      </c>
      <c r="H284" s="78">
        <f t="shared" si="255"/>
        <v>1</v>
      </c>
      <c r="I284" s="78">
        <f t="shared" si="255"/>
        <v>1</v>
      </c>
      <c r="J284" s="78">
        <f t="shared" si="255"/>
        <v>1</v>
      </c>
      <c r="K284" s="78">
        <f t="shared" si="255"/>
        <v>1</v>
      </c>
      <c r="L284" s="78">
        <f t="shared" si="255"/>
        <v>1</v>
      </c>
      <c r="M284" s="78">
        <f t="shared" si="255"/>
        <v>1</v>
      </c>
      <c r="N284" s="78">
        <f t="shared" si="255"/>
        <v>1</v>
      </c>
      <c r="O284" s="78">
        <f t="shared" si="255"/>
        <v>1</v>
      </c>
      <c r="P284" s="78">
        <f t="shared" si="255"/>
        <v>1</v>
      </c>
      <c r="Q284" s="397"/>
      <c r="R284" s="82"/>
    </row>
    <row r="285" spans="2:18" hidden="1">
      <c r="B285" s="94" t="s">
        <v>533</v>
      </c>
      <c r="C285" s="183"/>
      <c r="D285" s="194"/>
      <c r="E285" s="49" t="s">
        <v>832</v>
      </c>
      <c r="F285" s="28" t="s">
        <v>199</v>
      </c>
      <c r="G285" s="78">
        <f>G284*G283</f>
        <v>0</v>
      </c>
      <c r="H285" s="78">
        <f t="shared" ref="H285:P285" si="256">H284*H283</f>
        <v>0</v>
      </c>
      <c r="I285" s="78">
        <f t="shared" si="256"/>
        <v>0</v>
      </c>
      <c r="J285" s="78">
        <f t="shared" si="256"/>
        <v>0</v>
      </c>
      <c r="K285" s="78">
        <f t="shared" si="256"/>
        <v>0</v>
      </c>
      <c r="L285" s="78">
        <f t="shared" si="256"/>
        <v>0</v>
      </c>
      <c r="M285" s="78">
        <f t="shared" si="256"/>
        <v>0</v>
      </c>
      <c r="N285" s="78">
        <f t="shared" si="256"/>
        <v>0</v>
      </c>
      <c r="O285" s="78">
        <f t="shared" si="256"/>
        <v>0</v>
      </c>
      <c r="P285" s="78">
        <f t="shared" si="256"/>
        <v>0</v>
      </c>
      <c r="Q285" s="397"/>
      <c r="R285" s="44"/>
    </row>
    <row r="286" spans="2:18" hidden="1">
      <c r="B286" s="94" t="s">
        <v>533</v>
      </c>
      <c r="C286" s="183"/>
      <c r="D286" s="194"/>
      <c r="E286" s="49" t="s">
        <v>826</v>
      </c>
      <c r="F286" s="28" t="s">
        <v>329</v>
      </c>
      <c r="G286" s="54">
        <f>'Cost Schedule'!$D$52</f>
        <v>1056.2716109999999</v>
      </c>
      <c r="H286" s="54">
        <f>'Cost Schedule'!$D$52</f>
        <v>1056.2716109999999</v>
      </c>
      <c r="I286" s="54">
        <f>'Cost Schedule'!$D$52</f>
        <v>1056.2716109999999</v>
      </c>
      <c r="J286" s="54">
        <f>'Cost Schedule'!$D$52</f>
        <v>1056.2716109999999</v>
      </c>
      <c r="K286" s="54">
        <f>'Cost Schedule'!$D$52</f>
        <v>1056.2716109999999</v>
      </c>
      <c r="L286" s="54">
        <f>'Cost Schedule'!$D$52</f>
        <v>1056.2716109999999</v>
      </c>
      <c r="M286" s="54">
        <f>'Cost Schedule'!$D$52</f>
        <v>1056.2716109999999</v>
      </c>
      <c r="N286" s="54">
        <f>'Cost Schedule'!$D$52</f>
        <v>1056.2716109999999</v>
      </c>
      <c r="O286" s="54">
        <f>'Cost Schedule'!$D$52</f>
        <v>1056.2716109999999</v>
      </c>
      <c r="P286" s="54">
        <f>'Cost Schedule'!$D$52</f>
        <v>1056.2716109999999</v>
      </c>
      <c r="Q286" s="397"/>
      <c r="R286" s="44"/>
    </row>
    <row r="287" spans="2:18" hidden="1">
      <c r="B287" s="94" t="s">
        <v>533</v>
      </c>
      <c r="C287" s="183"/>
      <c r="D287" s="194"/>
      <c r="E287" s="55" t="s">
        <v>229</v>
      </c>
      <c r="F287" s="28" t="s">
        <v>329</v>
      </c>
      <c r="G287" s="537"/>
      <c r="H287" s="537"/>
      <c r="I287" s="537"/>
      <c r="J287" s="537"/>
      <c r="K287" s="537"/>
      <c r="L287" s="537"/>
      <c r="M287" s="537"/>
      <c r="N287" s="537"/>
      <c r="O287" s="537"/>
      <c r="P287" s="537"/>
      <c r="Q287" s="397"/>
      <c r="R287" s="82"/>
    </row>
    <row r="288" spans="2:18" hidden="1">
      <c r="B288" s="94" t="s">
        <v>533</v>
      </c>
      <c r="C288" s="185"/>
      <c r="D288" s="196"/>
      <c r="E288" s="49" t="s">
        <v>146</v>
      </c>
      <c r="F288" s="28" t="s">
        <v>207</v>
      </c>
      <c r="G288" s="102">
        <f t="shared" ref="G288:J288" si="257">IF(G287="",G286,G287)*G285</f>
        <v>0</v>
      </c>
      <c r="H288" s="102">
        <f t="shared" si="257"/>
        <v>0</v>
      </c>
      <c r="I288" s="102">
        <f t="shared" si="257"/>
        <v>0</v>
      </c>
      <c r="J288" s="102">
        <f t="shared" si="257"/>
        <v>0</v>
      </c>
      <c r="K288" s="102">
        <f t="shared" ref="K288:P288" si="258">IF(K287="",K286,K287)*K285</f>
        <v>0</v>
      </c>
      <c r="L288" s="102">
        <f t="shared" si="258"/>
        <v>0</v>
      </c>
      <c r="M288" s="102">
        <f t="shared" si="258"/>
        <v>0</v>
      </c>
      <c r="N288" s="102">
        <f t="shared" si="258"/>
        <v>0</v>
      </c>
      <c r="O288" s="102">
        <f t="shared" si="258"/>
        <v>0</v>
      </c>
      <c r="P288" s="102">
        <f t="shared" si="258"/>
        <v>0</v>
      </c>
      <c r="Q288" s="397"/>
      <c r="R288" s="82"/>
    </row>
    <row r="289" spans="2:18" hidden="1">
      <c r="B289" s="94" t="s">
        <v>533</v>
      </c>
      <c r="C289" s="187" t="s">
        <v>833</v>
      </c>
      <c r="D289" s="192" t="s">
        <v>834</v>
      </c>
      <c r="E289" s="49" t="s">
        <v>227</v>
      </c>
      <c r="F289" s="28" t="s">
        <v>329</v>
      </c>
      <c r="G289" s="54">
        <f>IF(G$37=Difficult_cap,'Cost Schedule'!$D$58,IF(G$37=High_risk_cap,'Cost Schedule'!$D$57,IF('Tailings Storage Facilities'!G37=Medium_risk_cap,'Cost Schedule'!$D$56,IF('Tailings Storage Facilities'!G37=Low_risk_cap,'Cost Schedule'!$D$55,IF('Tailings Storage Facilities'!G37=Very_Low_risk_cap,'Cost Schedule'!$D$54,"E")))))</f>
        <v>4900</v>
      </c>
      <c r="H289" s="54">
        <f>IF(H$37=Difficult_cap,'Cost Schedule'!$D$58,IF(H$37=High_risk_cap,'Cost Schedule'!$D$57,IF('Tailings Storage Facilities'!H37=Medium_risk_cap,'Cost Schedule'!$D$56,IF('Tailings Storage Facilities'!H37=Low_risk_cap,'Cost Schedule'!$D$55,IF('Tailings Storage Facilities'!H37=Very_Low_risk_cap,'Cost Schedule'!$D$54,"E")))))</f>
        <v>3650</v>
      </c>
      <c r="I289" s="54">
        <f>IF(I$37=Difficult_cap,'Cost Schedule'!$D$58,IF(I$37=High_risk_cap,'Cost Schedule'!$D$57,IF('Tailings Storage Facilities'!I37=Medium_risk_cap,'Cost Schedule'!$D$56,IF('Tailings Storage Facilities'!I37=Low_risk_cap,'Cost Schedule'!$D$55,IF('Tailings Storage Facilities'!I37=Very_Low_risk_cap,'Cost Schedule'!$D$54,"E")))))</f>
        <v>3150</v>
      </c>
      <c r="J289" s="54">
        <f>IF(J$37=Difficult_cap,'Cost Schedule'!$D$58,IF(J$37=High_risk_cap,'Cost Schedule'!$D$57,IF('Tailings Storage Facilities'!J37=Medium_risk_cap,'Cost Schedule'!$D$56,IF('Tailings Storage Facilities'!J37=Low_risk_cap,'Cost Schedule'!$D$55,IF('Tailings Storage Facilities'!J37=Very_Low_risk_cap,'Cost Schedule'!$D$54,"E")))))</f>
        <v>1900</v>
      </c>
      <c r="K289" s="54">
        <f>IF(K$37=Difficult_cap,'Cost Schedule'!$D$58,IF(K$37=High_risk_cap,'Cost Schedule'!$D$57,IF('Tailings Storage Facilities'!K37=Medium_risk_cap,'Cost Schedule'!$D$56,IF('Tailings Storage Facilities'!K37=Low_risk_cap,'Cost Schedule'!$D$55,IF('Tailings Storage Facilities'!K37=Very_Low_risk_cap,'Cost Schedule'!$D$54,"E")))))</f>
        <v>1000</v>
      </c>
      <c r="L289" s="54">
        <f>IF(L$37=Difficult_cap,'Cost Schedule'!$D$58,IF(L$37=High_risk_cap,'Cost Schedule'!$D$57,IF('Tailings Storage Facilities'!L37=Medium_risk_cap,'Cost Schedule'!$D$56,IF('Tailings Storage Facilities'!L37=Low_risk_cap,'Cost Schedule'!$D$55,IF('Tailings Storage Facilities'!L37=Very_Low_risk_cap,'Cost Schedule'!$D$54,"E")))))</f>
        <v>3650</v>
      </c>
      <c r="M289" s="54">
        <f>IF(M$37=Difficult_cap,'Cost Schedule'!$D$58,IF(M$37=High_risk_cap,'Cost Schedule'!$D$57,IF('Tailings Storage Facilities'!M37=Medium_risk_cap,'Cost Schedule'!$D$56,IF('Tailings Storage Facilities'!M37=Low_risk_cap,'Cost Schedule'!$D$55,IF('Tailings Storage Facilities'!M37=Very_Low_risk_cap,'Cost Schedule'!$D$54,"E")))))</f>
        <v>3650</v>
      </c>
      <c r="N289" s="54">
        <f>IF(N$37=Difficult_cap,'Cost Schedule'!$D$58,IF(N$37=High_risk_cap,'Cost Schedule'!$D$57,IF('Tailings Storage Facilities'!N37=Medium_risk_cap,'Cost Schedule'!$D$56,IF('Tailings Storage Facilities'!N37=Low_risk_cap,'Cost Schedule'!$D$55,IF('Tailings Storage Facilities'!N37=Very_Low_risk_cap,'Cost Schedule'!$D$54,"E")))))</f>
        <v>3650</v>
      </c>
      <c r="O289" s="54">
        <f>IF(O$37=Difficult_cap,'Cost Schedule'!$D$58,IF(O$37=High_risk_cap,'Cost Schedule'!$D$57,IF('Tailings Storage Facilities'!O37=Medium_risk_cap,'Cost Schedule'!$D$56,IF('Tailings Storage Facilities'!O37=Low_risk_cap,'Cost Schedule'!$D$55,IF('Tailings Storage Facilities'!O37=Very_Low_risk_cap,'Cost Schedule'!$D$54,"E")))))</f>
        <v>3650</v>
      </c>
      <c r="P289" s="54">
        <f>IF(P$37=Difficult_cap,'Cost Schedule'!$D$58,IF(P$37=High_risk_cap,'Cost Schedule'!$D$57,IF('Tailings Storage Facilities'!P37=Medium_risk_cap,'Cost Schedule'!$D$56,IF('Tailings Storage Facilities'!P37=Low_risk_cap,'Cost Schedule'!$D$55,IF('Tailings Storage Facilities'!P37=Very_Low_risk_cap,'Cost Schedule'!$D$54,"E")))))</f>
        <v>3650</v>
      </c>
      <c r="Q289" s="397"/>
      <c r="R289" s="44"/>
    </row>
    <row r="290" spans="2:18" hidden="1">
      <c r="B290" s="94" t="s">
        <v>533</v>
      </c>
      <c r="C290" s="183"/>
      <c r="D290" s="194"/>
      <c r="E290" s="55" t="s">
        <v>229</v>
      </c>
      <c r="F290" s="28" t="s">
        <v>329</v>
      </c>
      <c r="G290" s="537"/>
      <c r="H290" s="537"/>
      <c r="I290" s="537"/>
      <c r="J290" s="537"/>
      <c r="K290" s="537"/>
      <c r="L290" s="537"/>
      <c r="M290" s="537"/>
      <c r="N290" s="537"/>
      <c r="O290" s="537"/>
      <c r="P290" s="537"/>
      <c r="Q290" s="397"/>
      <c r="R290" s="82"/>
    </row>
    <row r="291" spans="2:18" hidden="1">
      <c r="B291" s="94" t="s">
        <v>533</v>
      </c>
      <c r="C291" s="185"/>
      <c r="D291" s="196"/>
      <c r="E291" s="49" t="s">
        <v>833</v>
      </c>
      <c r="F291" s="28" t="s">
        <v>207</v>
      </c>
      <c r="G291" s="85">
        <f t="shared" ref="G291:J291" si="259">IF(G290="",G289,G290)*G283</f>
        <v>0</v>
      </c>
      <c r="H291" s="85">
        <f t="shared" si="259"/>
        <v>0</v>
      </c>
      <c r="I291" s="85">
        <f t="shared" si="259"/>
        <v>0</v>
      </c>
      <c r="J291" s="85">
        <f t="shared" si="259"/>
        <v>0</v>
      </c>
      <c r="K291" s="85">
        <f t="shared" ref="K291:P291" si="260">IF(K290="",K289,K290)*K283</f>
        <v>0</v>
      </c>
      <c r="L291" s="85">
        <f t="shared" si="260"/>
        <v>0</v>
      </c>
      <c r="M291" s="85">
        <f t="shared" si="260"/>
        <v>0</v>
      </c>
      <c r="N291" s="85">
        <f t="shared" si="260"/>
        <v>0</v>
      </c>
      <c r="O291" s="85">
        <f t="shared" si="260"/>
        <v>0</v>
      </c>
      <c r="P291" s="85">
        <f t="shared" si="260"/>
        <v>0</v>
      </c>
      <c r="Q291" s="397"/>
      <c r="R291" s="82"/>
    </row>
    <row r="292" spans="2:18" ht="12" hidden="1" thickBot="1">
      <c r="B292" s="94" t="s">
        <v>533</v>
      </c>
      <c r="C292" s="158"/>
      <c r="D292" s="66"/>
      <c r="E292" s="67" t="str">
        <f>CONCATENATE(C281," and ",C289)</f>
        <v>Permeability testing and Engineering</v>
      </c>
      <c r="F292" s="72"/>
      <c r="G292" s="91">
        <f t="shared" ref="G292:J292" si="261">G291+G288</f>
        <v>0</v>
      </c>
      <c r="H292" s="91">
        <f t="shared" si="261"/>
        <v>0</v>
      </c>
      <c r="I292" s="91">
        <f t="shared" si="261"/>
        <v>0</v>
      </c>
      <c r="J292" s="91">
        <f t="shared" si="261"/>
        <v>0</v>
      </c>
      <c r="K292" s="91">
        <f t="shared" ref="K292:P292" si="262">K291+K288</f>
        <v>0</v>
      </c>
      <c r="L292" s="91">
        <f t="shared" si="262"/>
        <v>0</v>
      </c>
      <c r="M292" s="91">
        <f t="shared" si="262"/>
        <v>0</v>
      </c>
      <c r="N292" s="91">
        <f t="shared" si="262"/>
        <v>0</v>
      </c>
      <c r="O292" s="91">
        <f t="shared" si="262"/>
        <v>0</v>
      </c>
      <c r="P292" s="91">
        <f t="shared" si="262"/>
        <v>0</v>
      </c>
      <c r="Q292" s="397"/>
      <c r="R292" s="82"/>
    </row>
    <row r="293" spans="2:18" ht="67.5" hidden="1">
      <c r="B293" s="94" t="s">
        <v>533</v>
      </c>
      <c r="C293" s="187" t="s">
        <v>888</v>
      </c>
      <c r="D293" s="59"/>
      <c r="E293" s="48" t="s">
        <v>55</v>
      </c>
      <c r="F293" s="28" t="s">
        <v>123</v>
      </c>
      <c r="G293" s="462" t="s">
        <v>889</v>
      </c>
      <c r="H293" s="462" t="s">
        <v>742</v>
      </c>
      <c r="I293" s="462" t="s">
        <v>743</v>
      </c>
      <c r="J293" s="462" t="s">
        <v>536</v>
      </c>
      <c r="K293" s="462" t="s">
        <v>537</v>
      </c>
      <c r="L293" s="462" t="s">
        <v>538</v>
      </c>
      <c r="M293" s="462" t="s">
        <v>535</v>
      </c>
      <c r="N293" s="462" t="s">
        <v>535</v>
      </c>
      <c r="O293" s="462" t="s">
        <v>535</v>
      </c>
      <c r="P293" s="462" t="s">
        <v>535</v>
      </c>
      <c r="Q293" s="397"/>
      <c r="R293" s="82"/>
    </row>
    <row r="294" spans="2:18" hidden="1">
      <c r="B294" s="94" t="s">
        <v>533</v>
      </c>
      <c r="C294" s="52"/>
      <c r="D294" s="60"/>
      <c r="E294" s="48" t="s">
        <v>214</v>
      </c>
      <c r="F294" s="28" t="s">
        <v>299</v>
      </c>
      <c r="G294" s="455"/>
      <c r="H294" s="455"/>
      <c r="I294" s="455"/>
      <c r="J294" s="455"/>
      <c r="K294" s="455"/>
      <c r="L294" s="455"/>
      <c r="M294" s="455"/>
      <c r="N294" s="455"/>
      <c r="O294" s="455"/>
      <c r="P294" s="455"/>
      <c r="Q294" s="397"/>
      <c r="R294" s="82"/>
    </row>
    <row r="295" spans="2:18" hidden="1">
      <c r="B295" s="94" t="s">
        <v>533</v>
      </c>
      <c r="C295" s="52"/>
      <c r="D295" s="60"/>
      <c r="E295" s="48" t="s">
        <v>204</v>
      </c>
      <c r="F295" s="28" t="s">
        <v>329</v>
      </c>
      <c r="G295" s="92">
        <f t="shared" ref="G295:P295" si="263">_xlfn.XLOOKUP(G293,Maintenance_rehab_areas_names_CS,Maintenance_rehab_areas_rates_CS)</f>
        <v>156.38726940000001</v>
      </c>
      <c r="H295" s="92">
        <f t="shared" si="263"/>
        <v>473.09634541637763</v>
      </c>
      <c r="I295" s="92">
        <f t="shared" si="263"/>
        <v>1266.6334079070016</v>
      </c>
      <c r="J295" s="92">
        <f t="shared" si="263"/>
        <v>1978.1198943934883</v>
      </c>
      <c r="K295" s="92">
        <f t="shared" si="263"/>
        <v>3401.0928673664612</v>
      </c>
      <c r="L295" s="92">
        <f t="shared" si="263"/>
        <v>27579.416003948303</v>
      </c>
      <c r="M295" s="92">
        <f t="shared" si="263"/>
        <v>1047.9768316769243</v>
      </c>
      <c r="N295" s="92">
        <f t="shared" si="263"/>
        <v>1047.9768316769243</v>
      </c>
      <c r="O295" s="92">
        <f t="shared" si="263"/>
        <v>1047.9768316769243</v>
      </c>
      <c r="P295" s="92">
        <f t="shared" si="263"/>
        <v>1047.9768316769243</v>
      </c>
      <c r="Q295" s="397"/>
      <c r="R295" s="82"/>
    </row>
    <row r="296" spans="2:18" hidden="1">
      <c r="B296" s="94" t="s">
        <v>533</v>
      </c>
      <c r="C296" s="52"/>
      <c r="D296" s="60"/>
      <c r="E296" s="48" t="s">
        <v>206</v>
      </c>
      <c r="F296" s="28" t="s">
        <v>329</v>
      </c>
      <c r="G296" s="537"/>
      <c r="H296" s="537"/>
      <c r="I296" s="537"/>
      <c r="J296" s="537"/>
      <c r="K296" s="537"/>
      <c r="L296" s="537"/>
      <c r="M296" s="537"/>
      <c r="N296" s="537"/>
      <c r="O296" s="537"/>
      <c r="P296" s="537"/>
      <c r="Q296" s="397"/>
      <c r="R296" s="82"/>
    </row>
    <row r="297" spans="2:18" hidden="1">
      <c r="B297" s="94" t="s">
        <v>533</v>
      </c>
      <c r="C297" s="56"/>
      <c r="D297" s="45"/>
      <c r="E297" s="48" t="s">
        <v>146</v>
      </c>
      <c r="F297" s="28" t="s">
        <v>207</v>
      </c>
      <c r="G297" s="95">
        <f t="shared" ref="G297:P297" si="264">G294*IF(G296="",G295,G296)</f>
        <v>0</v>
      </c>
      <c r="H297" s="95">
        <f t="shared" si="264"/>
        <v>0</v>
      </c>
      <c r="I297" s="95">
        <f t="shared" si="264"/>
        <v>0</v>
      </c>
      <c r="J297" s="95">
        <f t="shared" si="264"/>
        <v>0</v>
      </c>
      <c r="K297" s="95">
        <f t="shared" si="264"/>
        <v>0</v>
      </c>
      <c r="L297" s="95">
        <f t="shared" si="264"/>
        <v>0</v>
      </c>
      <c r="M297" s="95">
        <f t="shared" si="264"/>
        <v>0</v>
      </c>
      <c r="N297" s="95">
        <f t="shared" si="264"/>
        <v>0</v>
      </c>
      <c r="O297" s="95">
        <f t="shared" si="264"/>
        <v>0</v>
      </c>
      <c r="P297" s="95">
        <f t="shared" si="264"/>
        <v>0</v>
      </c>
      <c r="Q297" s="397"/>
      <c r="R297" s="82"/>
    </row>
    <row r="298" spans="2:18" hidden="1">
      <c r="B298" s="94" t="s">
        <v>533</v>
      </c>
      <c r="C298" s="203"/>
      <c r="D298" s="155"/>
      <c r="E298" s="96" t="str">
        <f>C293</f>
        <v>Maintain rehabilitated areas and repairs</v>
      </c>
      <c r="F298" s="61"/>
      <c r="G298" s="97">
        <f>G297</f>
        <v>0</v>
      </c>
      <c r="H298" s="97">
        <f t="shared" ref="H298:P298" si="265">H297</f>
        <v>0</v>
      </c>
      <c r="I298" s="97">
        <f t="shared" si="265"/>
        <v>0</v>
      </c>
      <c r="J298" s="97">
        <f t="shared" si="265"/>
        <v>0</v>
      </c>
      <c r="K298" s="97">
        <f t="shared" si="265"/>
        <v>0</v>
      </c>
      <c r="L298" s="97">
        <f t="shared" si="265"/>
        <v>0</v>
      </c>
      <c r="M298" s="97">
        <f t="shared" si="265"/>
        <v>0</v>
      </c>
      <c r="N298" s="97">
        <f t="shared" si="265"/>
        <v>0</v>
      </c>
      <c r="O298" s="97">
        <f t="shared" si="265"/>
        <v>0</v>
      </c>
      <c r="P298" s="97">
        <f t="shared" si="265"/>
        <v>0</v>
      </c>
      <c r="Q298" s="397"/>
      <c r="R298" s="82"/>
    </row>
    <row r="299" spans="2:18" hidden="1">
      <c r="B299" s="94" t="s">
        <v>533</v>
      </c>
      <c r="C299" s="174" t="s">
        <v>589</v>
      </c>
      <c r="D299" s="88" t="s">
        <v>749</v>
      </c>
      <c r="E299" s="49" t="s">
        <v>591</v>
      </c>
      <c r="F299" s="28" t="s">
        <v>219</v>
      </c>
      <c r="G299" s="455"/>
      <c r="H299" s="455"/>
      <c r="I299" s="455"/>
      <c r="J299" s="455"/>
      <c r="K299" s="455"/>
      <c r="L299" s="455"/>
      <c r="M299" s="455"/>
      <c r="N299" s="455"/>
      <c r="O299" s="455"/>
      <c r="P299" s="455"/>
      <c r="Q299" s="397"/>
      <c r="R299" s="82"/>
    </row>
    <row r="300" spans="2:18" hidden="1">
      <c r="B300" s="94" t="s">
        <v>533</v>
      </c>
      <c r="C300" s="76"/>
      <c r="D300" s="89"/>
      <c r="E300" s="49" t="s">
        <v>204</v>
      </c>
      <c r="F300" s="28" t="s">
        <v>352</v>
      </c>
      <c r="G300" s="54">
        <f>IF(G299=0,0,IF(G299&lt;=Biopile_minimum_volume_for_lump_sum_cost,'Cost Schedule'!$D$86,'Cost Schedule'!$D$87))</f>
        <v>0</v>
      </c>
      <c r="H300" s="54">
        <f>IF(H299=0,0,IF(H299&lt;=Biopile_minimum_volume_for_lump_sum_cost,'Cost Schedule'!$D$86,'Cost Schedule'!$D$87))</f>
        <v>0</v>
      </c>
      <c r="I300" s="54">
        <f>IF(I299=0,0,IF(I299&lt;=Biopile_minimum_volume_for_lump_sum_cost,'Cost Schedule'!$D$86,'Cost Schedule'!$D$87))</f>
        <v>0</v>
      </c>
      <c r="J300" s="54">
        <f>IF(J299=0,0,IF(J299&lt;=Biopile_minimum_volume_for_lump_sum_cost,'Cost Schedule'!$D$86,'Cost Schedule'!$D$87))</f>
        <v>0</v>
      </c>
      <c r="K300" s="54">
        <f>IF(K299=0,0,IF(K299&lt;=Biopile_minimum_volume_for_lump_sum_cost,'Cost Schedule'!$D$86,'Cost Schedule'!$D$87))</f>
        <v>0</v>
      </c>
      <c r="L300" s="54">
        <f>IF(L299=0,0,IF(L299&lt;=Biopile_minimum_volume_for_lump_sum_cost,'Cost Schedule'!$D$86,'Cost Schedule'!$D$87))</f>
        <v>0</v>
      </c>
      <c r="M300" s="54">
        <f>IF(M299=0,0,IF(M299&lt;=Biopile_minimum_volume_for_lump_sum_cost,'Cost Schedule'!$D$86,'Cost Schedule'!$D$87))</f>
        <v>0</v>
      </c>
      <c r="N300" s="54">
        <f>IF(N299=0,0,IF(N299&lt;=Biopile_minimum_volume_for_lump_sum_cost,'Cost Schedule'!$D$86,'Cost Schedule'!$D$87))</f>
        <v>0</v>
      </c>
      <c r="O300" s="54">
        <f>IF(O299=0,0,IF(O299&lt;=Biopile_minimum_volume_for_lump_sum_cost,'Cost Schedule'!$D$86,'Cost Schedule'!$D$87))</f>
        <v>0</v>
      </c>
      <c r="P300" s="54">
        <f>IF(P299=0,0,IF(P299&lt;=Biopile_minimum_volume_for_lump_sum_cost,'Cost Schedule'!$D$86,'Cost Schedule'!$D$87))</f>
        <v>0</v>
      </c>
      <c r="Q300" s="397"/>
      <c r="R300" s="82"/>
    </row>
    <row r="301" spans="2:18" hidden="1">
      <c r="B301" s="94" t="s">
        <v>533</v>
      </c>
      <c r="C301" s="76"/>
      <c r="D301" s="89"/>
      <c r="E301" s="49" t="s">
        <v>592</v>
      </c>
      <c r="F301" s="28" t="s">
        <v>592</v>
      </c>
      <c r="G301" s="101" t="str">
        <f t="shared" ref="G301:P301" si="266">IF(G299&lt;=Biopile_minimum_volume_for_lump_sum_cost,"$","$/m3")</f>
        <v>$</v>
      </c>
      <c r="H301" s="101" t="str">
        <f t="shared" si="266"/>
        <v>$</v>
      </c>
      <c r="I301" s="101" t="str">
        <f t="shared" si="266"/>
        <v>$</v>
      </c>
      <c r="J301" s="101" t="str">
        <f t="shared" si="266"/>
        <v>$</v>
      </c>
      <c r="K301" s="101" t="str">
        <f t="shared" si="266"/>
        <v>$</v>
      </c>
      <c r="L301" s="101" t="str">
        <f t="shared" si="266"/>
        <v>$</v>
      </c>
      <c r="M301" s="101" t="str">
        <f t="shared" si="266"/>
        <v>$</v>
      </c>
      <c r="N301" s="101" t="str">
        <f t="shared" si="266"/>
        <v>$</v>
      </c>
      <c r="O301" s="101" t="str">
        <f t="shared" si="266"/>
        <v>$</v>
      </c>
      <c r="P301" s="101" t="str">
        <f t="shared" si="266"/>
        <v>$</v>
      </c>
      <c r="Q301" s="397"/>
      <c r="R301" s="82"/>
    </row>
    <row r="302" spans="2:18" hidden="1">
      <c r="B302" s="94" t="s">
        <v>533</v>
      </c>
      <c r="C302" s="76"/>
      <c r="D302" s="89"/>
      <c r="E302" s="49" t="s">
        <v>229</v>
      </c>
      <c r="F302" s="28" t="s">
        <v>593</v>
      </c>
      <c r="G302" s="537"/>
      <c r="H302" s="537"/>
      <c r="I302" s="537"/>
      <c r="J302" s="537"/>
      <c r="K302" s="537"/>
      <c r="L302" s="537"/>
      <c r="M302" s="537"/>
      <c r="N302" s="537"/>
      <c r="O302" s="537"/>
      <c r="P302" s="537"/>
      <c r="Q302" s="397"/>
      <c r="R302" s="82"/>
    </row>
    <row r="303" spans="2:18" hidden="1">
      <c r="B303" s="94" t="s">
        <v>533</v>
      </c>
      <c r="C303" s="76"/>
      <c r="D303" s="89"/>
      <c r="E303" s="49" t="s">
        <v>146</v>
      </c>
      <c r="F303" s="28" t="s">
        <v>207</v>
      </c>
      <c r="G303" s="102">
        <f t="shared" ref="G303:P303" si="267">IF(AND(G299&lt;=Biopile_minimum_volume_for_lump_sum_cost,G302=""),G300,IF(AND(G299&lt;=Biopile_minimum_volume_for_lump_sum_cost,G302&lt;&gt;""),G302,G299*IF(G302="",G300,G302)))</f>
        <v>0</v>
      </c>
      <c r="H303" s="102">
        <f t="shared" si="267"/>
        <v>0</v>
      </c>
      <c r="I303" s="102">
        <f t="shared" si="267"/>
        <v>0</v>
      </c>
      <c r="J303" s="102">
        <f t="shared" si="267"/>
        <v>0</v>
      </c>
      <c r="K303" s="102">
        <f t="shared" si="267"/>
        <v>0</v>
      </c>
      <c r="L303" s="102">
        <f t="shared" si="267"/>
        <v>0</v>
      </c>
      <c r="M303" s="102">
        <f t="shared" si="267"/>
        <v>0</v>
      </c>
      <c r="N303" s="102">
        <f t="shared" si="267"/>
        <v>0</v>
      </c>
      <c r="O303" s="102">
        <f t="shared" si="267"/>
        <v>0</v>
      </c>
      <c r="P303" s="102">
        <f t="shared" si="267"/>
        <v>0</v>
      </c>
      <c r="Q303" s="397"/>
      <c r="R303" s="82"/>
    </row>
    <row r="304" spans="2:18" ht="33.75" hidden="1">
      <c r="B304" s="94" t="s">
        <v>533</v>
      </c>
      <c r="C304" s="76"/>
      <c r="D304" s="88" t="s">
        <v>594</v>
      </c>
      <c r="E304" s="49" t="s">
        <v>311</v>
      </c>
      <c r="F304" s="28" t="s">
        <v>123</v>
      </c>
      <c r="G304" s="462" t="s">
        <v>596</v>
      </c>
      <c r="H304" s="462" t="s">
        <v>596</v>
      </c>
      <c r="I304" s="462" t="s">
        <v>595</v>
      </c>
      <c r="J304" s="462" t="s">
        <v>595</v>
      </c>
      <c r="K304" s="462" t="s">
        <v>595</v>
      </c>
      <c r="L304" s="462" t="s">
        <v>595</v>
      </c>
      <c r="M304" s="462" t="s">
        <v>595</v>
      </c>
      <c r="N304" s="462" t="s">
        <v>595</v>
      </c>
      <c r="O304" s="462" t="s">
        <v>595</v>
      </c>
      <c r="P304" s="462" t="s">
        <v>595</v>
      </c>
      <c r="Q304" s="397"/>
      <c r="R304" s="82"/>
    </row>
    <row r="305" spans="2:18" hidden="1">
      <c r="B305" s="94" t="s">
        <v>533</v>
      </c>
      <c r="C305" s="76"/>
      <c r="D305" s="89"/>
      <c r="E305" s="49" t="s">
        <v>355</v>
      </c>
      <c r="F305" s="28" t="s">
        <v>433</v>
      </c>
      <c r="G305" s="455"/>
      <c r="H305" s="455"/>
      <c r="I305" s="455"/>
      <c r="J305" s="455"/>
      <c r="K305" s="455"/>
      <c r="L305" s="455"/>
      <c r="M305" s="455"/>
      <c r="N305" s="455"/>
      <c r="O305" s="455"/>
      <c r="P305" s="455"/>
      <c r="Q305" s="397"/>
      <c r="R305" s="82"/>
    </row>
    <row r="306" spans="2:18" hidden="1">
      <c r="B306" s="94" t="s">
        <v>533</v>
      </c>
      <c r="C306" s="76"/>
      <c r="D306" s="89"/>
      <c r="E306" s="49" t="s">
        <v>353</v>
      </c>
      <c r="G306" s="78" t="str">
        <f t="shared" ref="G306:P306" si="268">_xlfn.XLOOKUP(G304,Contaminated_soil_names_CS,Contaminated_soil_units_CS)</f>
        <v>t</v>
      </c>
      <c r="H306" s="78" t="str">
        <f t="shared" si="268"/>
        <v>t</v>
      </c>
      <c r="I306" s="78" t="str">
        <f t="shared" si="268"/>
        <v>m3</v>
      </c>
      <c r="J306" s="78" t="str">
        <f t="shared" si="268"/>
        <v>m3</v>
      </c>
      <c r="K306" s="78" t="str">
        <f t="shared" si="268"/>
        <v>m3</v>
      </c>
      <c r="L306" s="78" t="str">
        <f t="shared" si="268"/>
        <v>m3</v>
      </c>
      <c r="M306" s="78" t="str">
        <f t="shared" si="268"/>
        <v>m3</v>
      </c>
      <c r="N306" s="78" t="str">
        <f t="shared" si="268"/>
        <v>m3</v>
      </c>
      <c r="O306" s="78" t="str">
        <f t="shared" si="268"/>
        <v>m3</v>
      </c>
      <c r="P306" s="78" t="str">
        <f t="shared" si="268"/>
        <v>m3</v>
      </c>
      <c r="Q306" s="397"/>
      <c r="R306" s="82"/>
    </row>
    <row r="307" spans="2:18" hidden="1">
      <c r="B307" s="94" t="s">
        <v>533</v>
      </c>
      <c r="C307" s="76"/>
      <c r="D307" s="89"/>
      <c r="E307" s="49" t="s">
        <v>227</v>
      </c>
      <c r="F307" s="28" t="s">
        <v>352</v>
      </c>
      <c r="G307" s="54">
        <f t="shared" ref="G307:P307" si="269">_xlfn.XLOOKUP(G304,Contaminated_soil_names_CS,Contaminated_soil_rates_CS)</f>
        <v>400</v>
      </c>
      <c r="H307" s="54">
        <f t="shared" si="269"/>
        <v>400</v>
      </c>
      <c r="I307" s="54">
        <f t="shared" si="269"/>
        <v>34.320540423513727</v>
      </c>
      <c r="J307" s="54">
        <f t="shared" si="269"/>
        <v>34.320540423513727</v>
      </c>
      <c r="K307" s="54">
        <f t="shared" si="269"/>
        <v>34.320540423513727</v>
      </c>
      <c r="L307" s="54">
        <f t="shared" si="269"/>
        <v>34.320540423513727</v>
      </c>
      <c r="M307" s="54">
        <f t="shared" si="269"/>
        <v>34.320540423513727</v>
      </c>
      <c r="N307" s="54">
        <f t="shared" si="269"/>
        <v>34.320540423513727</v>
      </c>
      <c r="O307" s="54">
        <f t="shared" si="269"/>
        <v>34.320540423513727</v>
      </c>
      <c r="P307" s="54">
        <f t="shared" si="269"/>
        <v>34.320540423513727</v>
      </c>
      <c r="Q307" s="397"/>
      <c r="R307" s="82"/>
    </row>
    <row r="308" spans="2:18" hidden="1">
      <c r="B308" s="94" t="s">
        <v>533</v>
      </c>
      <c r="C308" s="76"/>
      <c r="D308" s="89"/>
      <c r="E308" s="49" t="s">
        <v>229</v>
      </c>
      <c r="F308" s="28" t="s">
        <v>352</v>
      </c>
      <c r="G308" s="537"/>
      <c r="H308" s="537"/>
      <c r="I308" s="537"/>
      <c r="J308" s="537"/>
      <c r="K308" s="537"/>
      <c r="L308" s="537"/>
      <c r="M308" s="537"/>
      <c r="N308" s="537"/>
      <c r="O308" s="537"/>
      <c r="P308" s="537"/>
      <c r="Q308" s="397"/>
      <c r="R308" s="82"/>
    </row>
    <row r="309" spans="2:18" hidden="1">
      <c r="B309" s="94" t="s">
        <v>533</v>
      </c>
      <c r="C309" s="77"/>
      <c r="D309" s="90"/>
      <c r="E309" s="49" t="s">
        <v>146</v>
      </c>
      <c r="F309" s="28" t="s">
        <v>207</v>
      </c>
      <c r="G309" s="85">
        <f t="shared" ref="G309:P309" si="270">IF(G308="",G307,G308)*G305</f>
        <v>0</v>
      </c>
      <c r="H309" s="85">
        <f t="shared" si="270"/>
        <v>0</v>
      </c>
      <c r="I309" s="85">
        <f t="shared" si="270"/>
        <v>0</v>
      </c>
      <c r="J309" s="85">
        <f t="shared" si="270"/>
        <v>0</v>
      </c>
      <c r="K309" s="85">
        <f t="shared" si="270"/>
        <v>0</v>
      </c>
      <c r="L309" s="85">
        <f t="shared" si="270"/>
        <v>0</v>
      </c>
      <c r="M309" s="85">
        <f t="shared" si="270"/>
        <v>0</v>
      </c>
      <c r="N309" s="85">
        <f t="shared" si="270"/>
        <v>0</v>
      </c>
      <c r="O309" s="85">
        <f t="shared" si="270"/>
        <v>0</v>
      </c>
      <c r="P309" s="85">
        <f t="shared" si="270"/>
        <v>0</v>
      </c>
      <c r="Q309" s="397"/>
      <c r="R309" s="82"/>
    </row>
    <row r="310" spans="2:18" ht="12" hidden="1" thickBot="1">
      <c r="B310" s="94" t="s">
        <v>533</v>
      </c>
      <c r="C310" s="158"/>
      <c r="D310" s="66"/>
      <c r="E310" s="67" t="str">
        <f>C299</f>
        <v>Contaminated soil treat on-site</v>
      </c>
      <c r="F310" s="72"/>
      <c r="G310" s="91">
        <f t="shared" ref="G310:P310" si="271">G303+G309</f>
        <v>0</v>
      </c>
      <c r="H310" s="91">
        <f t="shared" si="271"/>
        <v>0</v>
      </c>
      <c r="I310" s="91">
        <f t="shared" si="271"/>
        <v>0</v>
      </c>
      <c r="J310" s="91">
        <f t="shared" si="271"/>
        <v>0</v>
      </c>
      <c r="K310" s="91">
        <f t="shared" si="271"/>
        <v>0</v>
      </c>
      <c r="L310" s="91">
        <f t="shared" si="271"/>
        <v>0</v>
      </c>
      <c r="M310" s="91">
        <f t="shared" si="271"/>
        <v>0</v>
      </c>
      <c r="N310" s="91">
        <f t="shared" si="271"/>
        <v>0</v>
      </c>
      <c r="O310" s="91">
        <f t="shared" si="271"/>
        <v>0</v>
      </c>
      <c r="P310" s="91">
        <f t="shared" si="271"/>
        <v>0</v>
      </c>
      <c r="Q310" s="397"/>
      <c r="R310" s="82"/>
    </row>
    <row r="311" spans="2:18" hidden="1">
      <c r="B311" s="94" t="s">
        <v>533</v>
      </c>
      <c r="C311" s="534" t="s">
        <v>751</v>
      </c>
      <c r="D311" s="535" t="s">
        <v>751</v>
      </c>
      <c r="E311" s="535" t="s">
        <v>751</v>
      </c>
      <c r="F311" s="28" t="s">
        <v>207</v>
      </c>
      <c r="G311" s="536">
        <v>0</v>
      </c>
      <c r="H311" s="536">
        <v>0</v>
      </c>
      <c r="I311" s="536">
        <v>0</v>
      </c>
      <c r="J311" s="536">
        <v>0</v>
      </c>
      <c r="K311" s="536">
        <v>0</v>
      </c>
      <c r="L311" s="536">
        <v>0</v>
      </c>
      <c r="M311" s="536">
        <v>0</v>
      </c>
      <c r="N311" s="536">
        <v>0</v>
      </c>
      <c r="O311" s="536">
        <v>0</v>
      </c>
      <c r="P311" s="536">
        <v>0</v>
      </c>
      <c r="Q311" s="397"/>
      <c r="R311" s="82"/>
    </row>
    <row r="312" spans="2:18" hidden="1">
      <c r="B312" s="94" t="s">
        <v>533</v>
      </c>
      <c r="C312" s="534" t="s">
        <v>751</v>
      </c>
      <c r="D312" s="535" t="s">
        <v>751</v>
      </c>
      <c r="E312" s="535" t="s">
        <v>751</v>
      </c>
      <c r="F312" s="28" t="s">
        <v>207</v>
      </c>
      <c r="G312" s="536">
        <v>0</v>
      </c>
      <c r="H312" s="536">
        <v>0</v>
      </c>
      <c r="I312" s="536">
        <v>0</v>
      </c>
      <c r="J312" s="536">
        <v>0</v>
      </c>
      <c r="K312" s="536">
        <v>0</v>
      </c>
      <c r="L312" s="536">
        <v>0</v>
      </c>
      <c r="M312" s="536">
        <v>0</v>
      </c>
      <c r="N312" s="536">
        <v>0</v>
      </c>
      <c r="O312" s="536">
        <v>0</v>
      </c>
      <c r="P312" s="536">
        <v>0</v>
      </c>
      <c r="Q312" s="397"/>
      <c r="R312" s="82"/>
    </row>
    <row r="313" spans="2:18" hidden="1">
      <c r="B313" s="94" t="s">
        <v>533</v>
      </c>
      <c r="C313" s="534" t="s">
        <v>751</v>
      </c>
      <c r="D313" s="535" t="s">
        <v>751</v>
      </c>
      <c r="E313" s="535" t="s">
        <v>751</v>
      </c>
      <c r="F313" s="28" t="s">
        <v>207</v>
      </c>
      <c r="G313" s="536">
        <v>0</v>
      </c>
      <c r="H313" s="536">
        <v>0</v>
      </c>
      <c r="I313" s="536">
        <v>0</v>
      </c>
      <c r="J313" s="536">
        <v>0</v>
      </c>
      <c r="K313" s="536">
        <v>0</v>
      </c>
      <c r="L313" s="536">
        <v>0</v>
      </c>
      <c r="M313" s="536">
        <v>0</v>
      </c>
      <c r="N313" s="536">
        <v>0</v>
      </c>
      <c r="O313" s="536">
        <v>0</v>
      </c>
      <c r="P313" s="536">
        <v>0</v>
      </c>
      <c r="Q313" s="397"/>
      <c r="R313" s="82"/>
    </row>
    <row r="314" spans="2:18" hidden="1">
      <c r="B314" s="94" t="s">
        <v>533</v>
      </c>
      <c r="C314" s="534" t="s">
        <v>751</v>
      </c>
      <c r="D314" s="535" t="s">
        <v>751</v>
      </c>
      <c r="E314" s="535" t="s">
        <v>751</v>
      </c>
      <c r="F314" s="28" t="s">
        <v>207</v>
      </c>
      <c r="G314" s="536">
        <v>0</v>
      </c>
      <c r="H314" s="536">
        <v>0</v>
      </c>
      <c r="I314" s="536">
        <v>0</v>
      </c>
      <c r="J314" s="536">
        <v>0</v>
      </c>
      <c r="K314" s="536">
        <v>0</v>
      </c>
      <c r="L314" s="536">
        <v>0</v>
      </c>
      <c r="M314" s="536">
        <v>0</v>
      </c>
      <c r="N314" s="536">
        <v>0</v>
      </c>
      <c r="O314" s="536">
        <v>0</v>
      </c>
      <c r="P314" s="536">
        <v>0</v>
      </c>
      <c r="Q314" s="397"/>
      <c r="R314" s="82"/>
    </row>
    <row r="315" spans="2:18" hidden="1">
      <c r="B315" s="94" t="s">
        <v>533</v>
      </c>
      <c r="C315" s="534" t="s">
        <v>751</v>
      </c>
      <c r="D315" s="535" t="s">
        <v>751</v>
      </c>
      <c r="E315" s="535" t="s">
        <v>751</v>
      </c>
      <c r="F315" s="28" t="s">
        <v>207</v>
      </c>
      <c r="G315" s="536">
        <v>0</v>
      </c>
      <c r="H315" s="536">
        <v>0</v>
      </c>
      <c r="I315" s="536">
        <v>0</v>
      </c>
      <c r="J315" s="536">
        <v>0</v>
      </c>
      <c r="K315" s="536">
        <v>0</v>
      </c>
      <c r="L315" s="536">
        <v>0</v>
      </c>
      <c r="M315" s="536">
        <v>0</v>
      </c>
      <c r="N315" s="536">
        <v>0</v>
      </c>
      <c r="O315" s="536">
        <v>0</v>
      </c>
      <c r="P315" s="536">
        <v>0</v>
      </c>
      <c r="Q315" s="397"/>
      <c r="R315" s="82"/>
    </row>
    <row r="316" spans="2:18" ht="12" hidden="1" thickBot="1">
      <c r="B316" s="94" t="s">
        <v>533</v>
      </c>
      <c r="C316" s="158"/>
      <c r="D316" s="66"/>
      <c r="E316" s="67" t="s">
        <v>173</v>
      </c>
      <c r="F316" s="72"/>
      <c r="G316" s="91">
        <f t="shared" ref="G316:J316" si="272">SUM(G311:G315)</f>
        <v>0</v>
      </c>
      <c r="H316" s="91">
        <f t="shared" si="272"/>
        <v>0</v>
      </c>
      <c r="I316" s="91">
        <f t="shared" si="272"/>
        <v>0</v>
      </c>
      <c r="J316" s="91">
        <f t="shared" si="272"/>
        <v>0</v>
      </c>
      <c r="K316" s="91">
        <f t="shared" ref="K316:P316" si="273">SUM(K311:K315)</f>
        <v>0</v>
      </c>
      <c r="L316" s="91">
        <f t="shared" si="273"/>
        <v>0</v>
      </c>
      <c r="M316" s="91">
        <f t="shared" si="273"/>
        <v>0</v>
      </c>
      <c r="N316" s="91">
        <f t="shared" si="273"/>
        <v>0</v>
      </c>
      <c r="O316" s="91">
        <f t="shared" si="273"/>
        <v>0</v>
      </c>
      <c r="P316" s="91">
        <f t="shared" si="273"/>
        <v>0</v>
      </c>
      <c r="Q316" s="397"/>
      <c r="R316" s="82"/>
    </row>
    <row r="317" spans="2:18">
      <c r="B317" s="94" t="s">
        <v>123</v>
      </c>
    </row>
  </sheetData>
  <sheetProtection algorithmName="SHA-512" hashValue="TsJ+gTiUUhiknJI7o4IUyeV9qQ1+n4IwtSK0Ri5foz/jAl9tIGOfSH9g78mtRGdOehKdn3xodSuCSX98jGAiow==" saltValue="U0NRSmn+F4fo2w4z5yu0FA==" spinCount="100000" sheet="1" objects="1" scenarios="1" autoFilter="0"/>
  <autoFilter ref="B32:B317" xr:uid="{FCC7F12D-CD58-4E22-B441-2CEE0DA5638B}">
    <filterColumn colId="0">
      <filters>
        <filter val="Select"/>
      </filters>
    </filterColumn>
  </autoFilter>
  <phoneticPr fontId="21" type="noConversion"/>
  <conditionalFormatting sqref="G196:O196">
    <cfRule type="notContainsBlanks" dxfId="238" priority="27">
      <formula>LEN(TRIM(G196))&gt;0</formula>
    </cfRule>
  </conditionalFormatting>
  <conditionalFormatting sqref="G14:P14">
    <cfRule type="notContainsBlanks" dxfId="237" priority="56">
      <formula>LEN(TRIM(G14))&gt;0</formula>
    </cfRule>
  </conditionalFormatting>
  <conditionalFormatting sqref="G23:P23">
    <cfRule type="notContainsBlanks" dxfId="236" priority="55">
      <formula>LEN(TRIM(G23))&gt;0</formula>
    </cfRule>
  </conditionalFormatting>
  <conditionalFormatting sqref="G28:P28">
    <cfRule type="notContainsBlanks" dxfId="235" priority="54">
      <formula>LEN(TRIM(G28))&gt;0</formula>
    </cfRule>
  </conditionalFormatting>
  <conditionalFormatting sqref="G49:P49">
    <cfRule type="notContainsBlanks" dxfId="234" priority="53">
      <formula>LEN(TRIM(G49))&gt;0</formula>
    </cfRule>
  </conditionalFormatting>
  <conditionalFormatting sqref="G53:P53">
    <cfRule type="notContainsBlanks" dxfId="233" priority="52">
      <formula>LEN(TRIM(G53))&gt;0</formula>
    </cfRule>
  </conditionalFormatting>
  <conditionalFormatting sqref="G57:P57">
    <cfRule type="notContainsBlanks" dxfId="232" priority="51">
      <formula>LEN(TRIM(G57))&gt;0</formula>
    </cfRule>
  </conditionalFormatting>
  <conditionalFormatting sqref="G65:P65">
    <cfRule type="notContainsBlanks" dxfId="231" priority="50">
      <formula>LEN(TRIM(G65))&gt;0</formula>
    </cfRule>
  </conditionalFormatting>
  <conditionalFormatting sqref="G69:P69">
    <cfRule type="notContainsBlanks" dxfId="230" priority="49">
      <formula>LEN(TRIM(G69))&gt;0</formula>
    </cfRule>
  </conditionalFormatting>
  <conditionalFormatting sqref="G73:P73">
    <cfRule type="notContainsBlanks" dxfId="229" priority="48">
      <formula>LEN(TRIM(G73))&gt;0</formula>
    </cfRule>
  </conditionalFormatting>
  <conditionalFormatting sqref="G84:P84">
    <cfRule type="notContainsBlanks" dxfId="228" priority="47">
      <formula>LEN(TRIM(G84))&gt;0</formula>
    </cfRule>
  </conditionalFormatting>
  <conditionalFormatting sqref="G88:P88">
    <cfRule type="notContainsBlanks" dxfId="227" priority="46">
      <formula>LEN(TRIM(G88))&gt;0</formula>
    </cfRule>
  </conditionalFormatting>
  <conditionalFormatting sqref="G92:P92">
    <cfRule type="notContainsBlanks" dxfId="226" priority="1">
      <formula>LEN(TRIM(G92))&gt;0</formula>
    </cfRule>
  </conditionalFormatting>
  <conditionalFormatting sqref="G103:P103">
    <cfRule type="notContainsBlanks" dxfId="225" priority="45">
      <formula>LEN(TRIM(G103))&gt;0</formula>
    </cfRule>
  </conditionalFormatting>
  <conditionalFormatting sqref="G106:P106">
    <cfRule type="notContainsBlanks" dxfId="224" priority="44">
      <formula>LEN(TRIM(G106))&gt;0</formula>
    </cfRule>
  </conditionalFormatting>
  <conditionalFormatting sqref="G110:P110">
    <cfRule type="notContainsBlanks" dxfId="223" priority="43">
      <formula>LEN(TRIM(G110))&gt;0</formula>
    </cfRule>
  </conditionalFormatting>
  <conditionalFormatting sqref="G113:P113">
    <cfRule type="notContainsBlanks" dxfId="222" priority="42">
      <formula>LEN(TRIM(G113))&gt;0</formula>
    </cfRule>
  </conditionalFormatting>
  <conditionalFormatting sqref="G126:P126">
    <cfRule type="notContainsBlanks" dxfId="221" priority="41">
      <formula>LEN(TRIM(G126))&gt;0</formula>
    </cfRule>
  </conditionalFormatting>
  <conditionalFormatting sqref="G130:P130">
    <cfRule type="notContainsBlanks" dxfId="220" priority="40">
      <formula>LEN(TRIM(G130))&gt;0</formula>
    </cfRule>
  </conditionalFormatting>
  <conditionalFormatting sqref="G133:P133">
    <cfRule type="notContainsBlanks" dxfId="219" priority="39">
      <formula>LEN(TRIM(G133))&gt;0</formula>
    </cfRule>
  </conditionalFormatting>
  <conditionalFormatting sqref="G137:P137">
    <cfRule type="notContainsBlanks" dxfId="218" priority="38">
      <formula>LEN(TRIM(G137))&gt;0</formula>
    </cfRule>
  </conditionalFormatting>
  <conditionalFormatting sqref="G141:P141">
    <cfRule type="notContainsBlanks" dxfId="217" priority="37">
      <formula>LEN(TRIM(G141))&gt;0</formula>
    </cfRule>
  </conditionalFormatting>
  <conditionalFormatting sqref="G144:P144">
    <cfRule type="notContainsBlanks" dxfId="216" priority="36">
      <formula>LEN(TRIM(G144))&gt;0</formula>
    </cfRule>
  </conditionalFormatting>
  <conditionalFormatting sqref="G147:P147">
    <cfRule type="notContainsBlanks" dxfId="215" priority="35">
      <formula>LEN(TRIM(G147))&gt;0</formula>
    </cfRule>
  </conditionalFormatting>
  <conditionalFormatting sqref="G150:P150">
    <cfRule type="notContainsBlanks" dxfId="214" priority="34">
      <formula>LEN(TRIM(G150))&gt;0</formula>
    </cfRule>
  </conditionalFormatting>
  <conditionalFormatting sqref="G162:P162">
    <cfRule type="notContainsBlanks" dxfId="213" priority="33">
      <formula>LEN(TRIM(G162))&gt;0</formula>
    </cfRule>
  </conditionalFormatting>
  <conditionalFormatting sqref="G166:P166">
    <cfRule type="notContainsBlanks" dxfId="212" priority="32">
      <formula>LEN(TRIM(G166))&gt;0</formula>
    </cfRule>
  </conditionalFormatting>
  <conditionalFormatting sqref="G173:P173">
    <cfRule type="notContainsBlanks" dxfId="211" priority="31">
      <formula>LEN(TRIM(G173))&gt;0</formula>
    </cfRule>
  </conditionalFormatting>
  <conditionalFormatting sqref="G179:P179">
    <cfRule type="notContainsBlanks" dxfId="210" priority="30">
      <formula>LEN(TRIM(G179))&gt;0</formula>
    </cfRule>
  </conditionalFormatting>
  <conditionalFormatting sqref="G185:P185">
    <cfRule type="notContainsBlanks" dxfId="209" priority="29">
      <formula>LEN(TRIM(G185))&gt;0</formula>
    </cfRule>
  </conditionalFormatting>
  <conditionalFormatting sqref="G192:P192">
    <cfRule type="notContainsBlanks" dxfId="208" priority="28">
      <formula>LEN(TRIM(G192))&gt;0</formula>
    </cfRule>
  </conditionalFormatting>
  <conditionalFormatting sqref="G204:P204">
    <cfRule type="notContainsBlanks" dxfId="207" priority="26">
      <formula>LEN(TRIM(G204))&gt;0</formula>
    </cfRule>
  </conditionalFormatting>
  <conditionalFormatting sqref="G208:P208">
    <cfRule type="notContainsBlanks" dxfId="206" priority="25">
      <formula>LEN(TRIM(G208))&gt;0</formula>
    </cfRule>
  </conditionalFormatting>
  <conditionalFormatting sqref="G222:P222">
    <cfRule type="notContainsBlanks" dxfId="205" priority="24">
      <formula>LEN(TRIM(G222))&gt;0</formula>
    </cfRule>
  </conditionalFormatting>
  <conditionalFormatting sqref="G226:P226">
    <cfRule type="notContainsBlanks" dxfId="204" priority="23">
      <formula>LEN(TRIM(G226))&gt;0</formula>
    </cfRule>
  </conditionalFormatting>
  <conditionalFormatting sqref="G230:P230">
    <cfRule type="notContainsBlanks" dxfId="203" priority="22">
      <formula>LEN(TRIM(G230))&gt;0</formula>
    </cfRule>
  </conditionalFormatting>
  <conditionalFormatting sqref="G240:P240">
    <cfRule type="notContainsBlanks" dxfId="202" priority="21">
      <formula>LEN(TRIM(G240))&gt;0</formula>
    </cfRule>
  </conditionalFormatting>
  <conditionalFormatting sqref="G244:P244">
    <cfRule type="notContainsBlanks" dxfId="201" priority="20">
      <formula>LEN(TRIM(G244))&gt;0</formula>
    </cfRule>
  </conditionalFormatting>
  <conditionalFormatting sqref="G246:P246">
    <cfRule type="notContainsBlanks" dxfId="200" priority="19">
      <formula>LEN(TRIM(G246))&gt;0</formula>
    </cfRule>
  </conditionalFormatting>
  <conditionalFormatting sqref="G256:P256">
    <cfRule type="notContainsBlanks" dxfId="199" priority="7">
      <formula>LEN(TRIM(G256))&gt;0</formula>
    </cfRule>
  </conditionalFormatting>
  <conditionalFormatting sqref="G262:P262">
    <cfRule type="notContainsBlanks" dxfId="198" priority="6">
      <formula>LEN(TRIM(G262))&gt;0</formula>
    </cfRule>
  </conditionalFormatting>
  <conditionalFormatting sqref="G266:P266">
    <cfRule type="notContainsBlanks" dxfId="197" priority="5">
      <formula>LEN(TRIM(G266))&gt;0</formula>
    </cfRule>
  </conditionalFormatting>
  <conditionalFormatting sqref="G270:P270">
    <cfRule type="notContainsBlanks" dxfId="196" priority="4">
      <formula>LEN(TRIM(G270))&gt;0</formula>
    </cfRule>
  </conditionalFormatting>
  <conditionalFormatting sqref="G274:P274">
    <cfRule type="notContainsBlanks" dxfId="195" priority="3">
      <formula>LEN(TRIM(G274))&gt;0</formula>
    </cfRule>
  </conditionalFormatting>
  <conditionalFormatting sqref="G278:P278">
    <cfRule type="notContainsBlanks" dxfId="194" priority="2">
      <formula>LEN(TRIM(G278))&gt;0</formula>
    </cfRule>
  </conditionalFormatting>
  <conditionalFormatting sqref="G287:P287">
    <cfRule type="notContainsBlanks" dxfId="193" priority="12">
      <formula>LEN(TRIM(G287))&gt;0</formula>
    </cfRule>
  </conditionalFormatting>
  <conditionalFormatting sqref="G290:P290">
    <cfRule type="notContainsBlanks" dxfId="192" priority="11">
      <formula>LEN(TRIM(G290))&gt;0</formula>
    </cfRule>
  </conditionalFormatting>
  <conditionalFormatting sqref="G296:P296">
    <cfRule type="notContainsBlanks" dxfId="191" priority="10">
      <formula>LEN(TRIM(G296))&gt;0</formula>
    </cfRule>
  </conditionalFormatting>
  <conditionalFormatting sqref="G302:P302">
    <cfRule type="notContainsBlanks" dxfId="190" priority="9">
      <formula>LEN(TRIM(G302))&gt;0</formula>
    </cfRule>
  </conditionalFormatting>
  <conditionalFormatting sqref="G308:P308">
    <cfRule type="notContainsBlanks" dxfId="189" priority="8">
      <formula>LEN(TRIM(G308))&gt;0</formula>
    </cfRule>
  </conditionalFormatting>
  <conditionalFormatting sqref="G33:Q33">
    <cfRule type="containsText" dxfId="188" priority="68" operator="containsText" text="ok">
      <formula>NOT(ISERROR(SEARCH("ok",G33)))</formula>
    </cfRule>
  </conditionalFormatting>
  <conditionalFormatting sqref="R20">
    <cfRule type="containsText" dxfId="187" priority="67" operator="containsText" text="lower">
      <formula>NOT(ISERROR(SEARCH("lower",R20)))</formula>
    </cfRule>
  </conditionalFormatting>
  <conditionalFormatting sqref="R45">
    <cfRule type="containsText" dxfId="186" priority="65" operator="containsText" text="lower">
      <formula>NOT(ISERROR(SEARCH("lower",R45)))</formula>
    </cfRule>
  </conditionalFormatting>
  <conditionalFormatting sqref="R61">
    <cfRule type="containsText" dxfId="185" priority="58" operator="containsText" text="lower">
      <formula>NOT(ISERROR(SEARCH("lower",R61)))</formula>
    </cfRule>
  </conditionalFormatting>
  <conditionalFormatting sqref="R81">
    <cfRule type="containsText" dxfId="184" priority="63" operator="containsText" text="lower">
      <formula>NOT(ISERROR(SEARCH("lower",R81)))</formula>
    </cfRule>
  </conditionalFormatting>
  <conditionalFormatting sqref="R100">
    <cfRule type="containsText" dxfId="183" priority="62" operator="containsText" text="lower">
      <formula>NOT(ISERROR(SEARCH("lower",R100)))</formula>
    </cfRule>
  </conditionalFormatting>
  <conditionalFormatting sqref="R121">
    <cfRule type="containsText" dxfId="182" priority="61" operator="containsText" text="lower">
      <formula>NOT(ISERROR(SEARCH("lower",R121)))</formula>
    </cfRule>
  </conditionalFormatting>
  <conditionalFormatting sqref="R158">
    <cfRule type="containsText" dxfId="181" priority="60" operator="containsText" text="lower">
      <formula>NOT(ISERROR(SEARCH("lower",R158)))</formula>
    </cfRule>
  </conditionalFormatting>
  <conditionalFormatting sqref="R188">
    <cfRule type="containsText" dxfId="180" priority="57" operator="containsText" text="lower">
      <formula>NOT(ISERROR(SEARCH("lower",R188)))</formula>
    </cfRule>
  </conditionalFormatting>
  <conditionalFormatting sqref="R216">
    <cfRule type="containsText" dxfId="179" priority="59" operator="containsText" text="lower">
      <formula>NOT(ISERROR(SEARCH("lower",R216)))</formula>
    </cfRule>
  </conditionalFormatting>
  <dataValidations disablePrompts="1" count="24">
    <dataValidation type="list" allowBlank="1" showInputMessage="1" showErrorMessage="1" sqref="G236:P236" xr:uid="{DBE4B95D-EF6C-4B75-8131-023045EAA5CD}">
      <formula1>Ameliorants_soil_L</formula1>
    </dataValidation>
    <dataValidation type="list" allowBlank="1" showInputMessage="1" showErrorMessage="1" sqref="G108:P108 G128:P128 G63:P63 G86:P86" xr:uid="{BA512A46-B671-42C4-9BC2-B1B95108E388}">
      <formula1>Load_haul_fill_names_CS</formula1>
    </dataValidation>
    <dataValidation type="list" allowBlank="1" showInputMessage="1" showErrorMessage="1" sqref="G90:P90 G67:P67" xr:uid="{B84EFACC-12AD-4148-B6C3-4A0D916B2028}">
      <formula1>Dozer_push_names_CS</formula1>
    </dataValidation>
    <dataValidation type="list" allowBlank="1" showInputMessage="1" showErrorMessage="1" sqref="G55:P55" xr:uid="{D1240253-5F1C-4FF5-BDDE-FB1CEB6B0CEE}">
      <formula1>Dozer_shape_reprofile_area_names_CS</formula1>
    </dataValidation>
    <dataValidation type="list" allowBlank="1" showInputMessage="1" showErrorMessage="1" sqref="G242:P242 G220:P220" xr:uid="{85B18841-C7F2-4B71-9031-FB15B4558EFC}">
      <formula1>Long_haul_soil_amend_names_volume_CS</formula1>
    </dataValidation>
    <dataValidation type="list" allowBlank="1" showInputMessage="1" showErrorMessage="1" sqref="G47:P47" xr:uid="{9123338B-FB07-46CA-814C-0790A32BB679}">
      <formula1>Dozer_rip_names_CS</formula1>
    </dataValidation>
    <dataValidation type="list" allowBlank="1" showInputMessage="1" showErrorMessage="1" sqref="G71:P71 G51:P51 G194:P194 G164:P164" xr:uid="{D600DD75-A2C4-45DE-9D4E-8550A6EDEAF8}">
      <formula1>Dozer_shape_doze_for_drainage_names_CS</formula1>
    </dataValidation>
    <dataValidation type="list" allowBlank="1" showInputMessage="1" showErrorMessage="1" sqref="G139:P139" xr:uid="{2D85D786-F32C-4150-9E1F-0DE3FB6417F8}">
      <formula1>Grader_trim_names_CS</formula1>
    </dataValidation>
    <dataValidation type="list" allowBlank="1" showInputMessage="1" showErrorMessage="1" sqref="G124:P124" xr:uid="{600EAABD-5C4B-429D-A138-4F922FF778E8}">
      <formula1>Clay_source</formula1>
    </dataValidation>
    <dataValidation type="list" allowBlank="1" showInputMessage="1" showErrorMessage="1" sqref="G135:P135" xr:uid="{86FB2297-8B29-4690-AFCF-BBB0C96A3AE4}">
      <formula1>Long_haul_clay_names_CS</formula1>
    </dataValidation>
    <dataValidation type="list" allowBlank="1" showInputMessage="1" showErrorMessage="1" sqref="G202:P202" xr:uid="{4C37D8A4-F4C2-4D76-8765-E2E8B98362C1}">
      <formula1>Drains_names_CS</formula1>
    </dataValidation>
    <dataValidation type="list" allowBlank="1" showInputMessage="1" showErrorMessage="1" sqref="G190:P190 G160:P160" xr:uid="{3E7FD80A-A180-437E-B957-E8A12F3179C8}">
      <formula1>Load_haul_stabilised_names_CS</formula1>
    </dataValidation>
    <dataValidation type="list" allowBlank="1" showInputMessage="1" showErrorMessage="1" sqref="G228:P228" xr:uid="{7DA078CD-D44E-46B7-A13C-C4E0C18389B8}">
      <formula1>Load_haul_soil_names_CS</formula1>
    </dataValidation>
    <dataValidation type="list" allowBlank="1" showInputMessage="1" showErrorMessage="1" sqref="G11:P11" xr:uid="{FC65A0D4-FA99-42E2-8F5A-E275F670A43E}">
      <formula1>TSF_names_CS</formula1>
    </dataValidation>
    <dataValidation type="list" allowBlank="1" showInputMessage="1" showErrorMessage="1" sqref="G37:P37" xr:uid="{4EF5F84C-2168-473B-9C68-11C48822600C}">
      <formula1>Capping_risk_levels_TSF_L</formula1>
    </dataValidation>
    <dataValidation type="list" allowBlank="1" showInputMessage="1" showErrorMessage="1" sqref="G304:P304" xr:uid="{558AA36F-0F68-4E87-8478-15A216762396}">
      <formula1>Contaminated_soil_names_CS</formula1>
    </dataValidation>
    <dataValidation type="list" allowBlank="1" showInputMessage="1" showErrorMessage="1" sqref="G21:P21 G224:P224" xr:uid="{410D41FE-8354-467E-9632-E1F58D820263}">
      <formula1>Growth_media_fill_names_R</formula1>
    </dataValidation>
    <dataValidation type="list" allowBlank="1" showInputMessage="1" showErrorMessage="1" sqref="G293:P293" xr:uid="{EA41453B-081A-4B81-ADC2-306D287FF59E}">
      <formula1>Maintenance_rehab_areas_names_CS</formula1>
    </dataValidation>
    <dataValidation type="list" allowBlank="1" showInputMessage="1" showErrorMessage="1" sqref="G276:P276" xr:uid="{9DE5AAC8-CA52-479E-A92E-CAEB44FECF1A}">
      <formula1>Plant_and_seed_apply_water_names_CS</formula1>
    </dataValidation>
    <dataValidation type="list" allowBlank="1" showInputMessage="1" showErrorMessage="1" sqref="G272:P272" xr:uid="{4697E3D8-76F5-45EB-837D-4E4BFE079C31}">
      <formula1>Plant_and_seed_buy_water_names_CS</formula1>
    </dataValidation>
    <dataValidation type="list" allowBlank="1" showInputMessage="1" showErrorMessage="1" sqref="G268:P268" xr:uid="{5DEC0C1C-D412-445D-AE7B-4F153E7E1399}">
      <formula1>Plant_and_seed_apply_fertiliser_names_CS</formula1>
    </dataValidation>
    <dataValidation type="list" allowBlank="1" showInputMessage="1" showErrorMessage="1" sqref="G264:P264" xr:uid="{FCFEA7C2-0E2E-493F-90CE-D147BF29F896}">
      <formula1>Plant_and_seed_fertiliser_buy_names_CS</formula1>
    </dataValidation>
    <dataValidation type="list" allowBlank="1" showInputMessage="1" showErrorMessage="1" sqref="G260:P260" xr:uid="{E669E5B6-2037-4C90-B88C-841D8B3F2945}">
      <formula1>Plant_and_seed_apply_plant_names_CS</formula1>
    </dataValidation>
    <dataValidation type="list" allowBlank="1" showInputMessage="1" showErrorMessage="1" sqref="G253:P253" xr:uid="{9C3175A5-9768-41EF-8D8C-CC8411BB4553}">
      <formula1>Plant_and_seed_list_L</formula1>
    </dataValidation>
  </dataValidations>
  <hyperlinks>
    <hyperlink ref="E5" location="RCE_Summary" display="RCE Summary" xr:uid="{75D9ED6F-EC0B-4C7F-9CBE-1D01B68C1EF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599D7-FCCB-46AF-B477-A64F633ADC70}">
  <sheetPr codeName="Sheet9" filterMode="1">
    <tabColor theme="9" tint="-0.249977111117893"/>
  </sheetPr>
  <dimension ref="B2:S226"/>
  <sheetViews>
    <sheetView showGridLines="0" zoomScaleNormal="100" workbookViewId="0">
      <pane xSplit="7" ySplit="8" topLeftCell="H57" activePane="bottomRight" state="frozen"/>
      <selection pane="topRight" activeCell="J1" sqref="J1"/>
      <selection pane="bottomLeft" activeCell="A9" sqref="A9"/>
      <selection pane="bottomRight" activeCell="H67" sqref="H67"/>
    </sheetView>
  </sheetViews>
  <sheetFormatPr defaultColWidth="8.7109375" defaultRowHeight="11.25"/>
  <cols>
    <col min="1" max="1" width="2.140625" style="28" customWidth="1"/>
    <col min="2" max="2" width="4.5703125" style="28" customWidth="1"/>
    <col min="3" max="3" width="39.5703125" style="28" customWidth="1"/>
    <col min="4" max="4" width="37.5703125" style="28" bestFit="1" customWidth="1"/>
    <col min="5" max="5" width="37.42578125" style="28" customWidth="1"/>
    <col min="6" max="6" width="8.7109375" style="28"/>
    <col min="7" max="7" width="11.5703125" style="3" customWidth="1"/>
    <col min="8" max="17" width="13.28515625" style="3" customWidth="1"/>
    <col min="18" max="19" width="76.85546875" style="28" customWidth="1"/>
    <col min="20" max="20" width="34.5703125" style="28" customWidth="1"/>
    <col min="21" max="21" width="36.7109375" style="28" customWidth="1"/>
    <col min="22" max="16384" width="8.7109375" style="28"/>
  </cols>
  <sheetData>
    <row r="2" spans="3:19" ht="24.95" customHeight="1">
      <c r="C2" s="317" t="str">
        <f>Name_main</f>
        <v>Rehabilitation Cost Estimate Tool - Mining New South Wales</v>
      </c>
    </row>
    <row r="3" spans="3:19" ht="15.95" customHeight="1">
      <c r="C3" s="318" t="str">
        <f>CONCATENATE(CompanyName," - ",Mine_Name)</f>
        <v>Boral Cement - Marulan South Limestone Mine</v>
      </c>
    </row>
    <row r="4" spans="3:19" ht="15.95" customHeight="1" thickBot="1">
      <c r="C4" s="319" t="s">
        <v>182</v>
      </c>
      <c r="D4" s="320">
        <f>Grand_total</f>
        <v>27655414.430474937</v>
      </c>
    </row>
    <row r="5" spans="3:19" ht="15.95" customHeight="1" thickTop="1">
      <c r="C5" s="321" t="s">
        <v>89</v>
      </c>
      <c r="D5" s="322">
        <f>SUM(H6:Q6)</f>
        <v>143675.75957172731</v>
      </c>
      <c r="E5" s="393" t="s">
        <v>1</v>
      </c>
    </row>
    <row r="6" spans="3:19" ht="15.95" customHeight="1" thickBot="1">
      <c r="G6" s="323" t="s">
        <v>691</v>
      </c>
      <c r="H6" s="324">
        <f t="shared" ref="H6:Q6" si="0">H45+H51+H61+H67+H72+H77+H111+H124+H141+H164+H181+H212+H218+H224</f>
        <v>37410.219881895588</v>
      </c>
      <c r="I6" s="324">
        <f t="shared" si="0"/>
        <v>11785.763411499132</v>
      </c>
      <c r="J6" s="324">
        <f t="shared" si="0"/>
        <v>11785.763411499132</v>
      </c>
      <c r="K6" s="324">
        <f t="shared" si="0"/>
        <v>2716.0659319577553</v>
      </c>
      <c r="L6" s="324">
        <f t="shared" si="0"/>
        <v>79977.946934875712</v>
      </c>
      <c r="M6" s="324">
        <f t="shared" si="0"/>
        <v>0</v>
      </c>
      <c r="N6" s="324">
        <f t="shared" si="0"/>
        <v>0</v>
      </c>
      <c r="O6" s="324">
        <f t="shared" si="0"/>
        <v>0</v>
      </c>
      <c r="P6" s="324">
        <f t="shared" si="0"/>
        <v>0</v>
      </c>
      <c r="Q6" s="324">
        <f t="shared" si="0"/>
        <v>0</v>
      </c>
    </row>
    <row r="7" spans="3:19" ht="12" thickTop="1">
      <c r="C7" s="476" t="s">
        <v>692</v>
      </c>
      <c r="G7" s="28"/>
      <c r="H7" s="28"/>
      <c r="I7" s="28"/>
      <c r="J7" s="28"/>
      <c r="K7" s="28"/>
      <c r="L7" s="28"/>
      <c r="M7" s="28"/>
      <c r="N7" s="28"/>
      <c r="O7" s="28"/>
      <c r="P7" s="28"/>
      <c r="Q7" s="28"/>
    </row>
    <row r="8" spans="3:19" ht="34.5" thickBot="1">
      <c r="C8" s="538" t="s">
        <v>185</v>
      </c>
      <c r="D8" s="539" t="s">
        <v>186</v>
      </c>
      <c r="E8" s="539" t="s">
        <v>187</v>
      </c>
      <c r="F8" s="116" t="s">
        <v>592</v>
      </c>
      <c r="G8" s="540" t="s">
        <v>890</v>
      </c>
      <c r="H8" s="501" t="s">
        <v>891</v>
      </c>
      <c r="I8" s="501" t="s">
        <v>892</v>
      </c>
      <c r="J8" s="501" t="s">
        <v>893</v>
      </c>
      <c r="K8" s="501" t="s">
        <v>894</v>
      </c>
      <c r="L8" s="501" t="s">
        <v>895</v>
      </c>
      <c r="M8" s="501" t="s">
        <v>696</v>
      </c>
      <c r="N8" s="501" t="s">
        <v>696</v>
      </c>
      <c r="O8" s="501" t="s">
        <v>696</v>
      </c>
      <c r="P8" s="501" t="s">
        <v>696</v>
      </c>
      <c r="Q8" s="501" t="s">
        <v>696</v>
      </c>
      <c r="R8" s="327" t="s">
        <v>190</v>
      </c>
      <c r="S8" s="328" t="s">
        <v>191</v>
      </c>
    </row>
    <row r="9" spans="3:19" ht="45">
      <c r="C9" s="541" t="s">
        <v>124</v>
      </c>
      <c r="D9" s="504"/>
      <c r="E9" s="504"/>
      <c r="G9" s="323"/>
      <c r="H9" s="397"/>
      <c r="I9" s="397"/>
      <c r="J9" s="397"/>
      <c r="K9" s="397"/>
      <c r="L9" s="397"/>
      <c r="M9" s="397"/>
      <c r="N9" s="397"/>
      <c r="O9" s="397"/>
      <c r="P9" s="397"/>
      <c r="Q9" s="397"/>
      <c r="R9" s="397"/>
      <c r="S9" s="329" t="s">
        <v>195</v>
      </c>
    </row>
    <row r="10" spans="3:19" ht="45">
      <c r="C10" s="542" t="s">
        <v>192</v>
      </c>
      <c r="D10" s="543" t="s">
        <v>896</v>
      </c>
      <c r="E10" s="543" t="s">
        <v>194</v>
      </c>
      <c r="G10" s="323"/>
      <c r="H10" s="554" t="s">
        <v>891</v>
      </c>
      <c r="I10" s="554" t="s">
        <v>897</v>
      </c>
      <c r="J10" s="555" t="s">
        <v>893</v>
      </c>
      <c r="K10" s="555" t="s">
        <v>894</v>
      </c>
      <c r="L10" s="555"/>
      <c r="M10" s="555"/>
      <c r="N10" s="555"/>
      <c r="O10" s="555"/>
      <c r="P10" s="555"/>
      <c r="Q10" s="555"/>
      <c r="R10" s="397"/>
      <c r="S10" s="329" t="s">
        <v>195</v>
      </c>
    </row>
    <row r="11" spans="3:19" ht="22.5">
      <c r="C11" s="541" t="s">
        <v>898</v>
      </c>
      <c r="D11" s="544" t="s">
        <v>899</v>
      </c>
      <c r="E11" s="337" t="s">
        <v>900</v>
      </c>
      <c r="F11" s="28" t="s">
        <v>123</v>
      </c>
      <c r="G11" s="323"/>
      <c r="H11" s="503" t="s">
        <v>901</v>
      </c>
      <c r="I11" s="503" t="s">
        <v>902</v>
      </c>
      <c r="J11" s="503" t="s">
        <v>902</v>
      </c>
      <c r="K11" s="503" t="s">
        <v>902</v>
      </c>
      <c r="L11" s="503" t="s">
        <v>902</v>
      </c>
      <c r="M11" s="503" t="s">
        <v>902</v>
      </c>
      <c r="N11" s="503" t="s">
        <v>902</v>
      </c>
      <c r="O11" s="503" t="s">
        <v>902</v>
      </c>
      <c r="P11" s="503" t="s">
        <v>902</v>
      </c>
      <c r="Q11" s="503" t="s">
        <v>902</v>
      </c>
      <c r="R11" s="397"/>
      <c r="S11" s="420"/>
    </row>
    <row r="12" spans="3:19">
      <c r="C12" s="545"/>
      <c r="D12" s="546"/>
      <c r="E12" s="547" t="s">
        <v>227</v>
      </c>
      <c r="F12" s="28" t="s">
        <v>329</v>
      </c>
      <c r="H12" s="342">
        <f t="shared" ref="H12:Q12" si="1">_xlfn.XLOOKUP(H11,Dam_names_CS,Dam_rates_CS)</f>
        <v>2716.0659319577553</v>
      </c>
      <c r="I12" s="342">
        <f t="shared" si="1"/>
        <v>490051.51666856452</v>
      </c>
      <c r="J12" s="342">
        <f t="shared" si="1"/>
        <v>490051.51666856452</v>
      </c>
      <c r="K12" s="342">
        <f t="shared" si="1"/>
        <v>490051.51666856452</v>
      </c>
      <c r="L12" s="342">
        <f t="shared" si="1"/>
        <v>490051.51666856452</v>
      </c>
      <c r="M12" s="342">
        <f t="shared" si="1"/>
        <v>490051.51666856452</v>
      </c>
      <c r="N12" s="342">
        <f t="shared" si="1"/>
        <v>490051.51666856452</v>
      </c>
      <c r="O12" s="342">
        <f t="shared" si="1"/>
        <v>490051.51666856452</v>
      </c>
      <c r="P12" s="342">
        <f t="shared" si="1"/>
        <v>490051.51666856452</v>
      </c>
      <c r="Q12" s="342">
        <f t="shared" si="1"/>
        <v>490051.51666856452</v>
      </c>
      <c r="R12" s="397"/>
      <c r="S12" s="427"/>
    </row>
    <row r="13" spans="3:19">
      <c r="C13" s="545"/>
      <c r="D13" s="546"/>
      <c r="E13" s="547" t="s">
        <v>229</v>
      </c>
      <c r="F13" s="28" t="s">
        <v>329</v>
      </c>
      <c r="H13" s="414"/>
      <c r="I13" s="414"/>
      <c r="J13" s="414"/>
      <c r="K13" s="414"/>
      <c r="L13" s="414"/>
      <c r="M13" s="414"/>
      <c r="N13" s="414"/>
      <c r="O13" s="414"/>
      <c r="P13" s="414"/>
      <c r="Q13" s="414"/>
      <c r="R13" s="397"/>
      <c r="S13" s="427"/>
    </row>
    <row r="14" spans="3:19">
      <c r="C14" s="545"/>
      <c r="D14" s="546"/>
      <c r="E14" s="547" t="s">
        <v>903</v>
      </c>
      <c r="F14" s="28" t="s">
        <v>199</v>
      </c>
      <c r="H14" s="556"/>
      <c r="I14" s="556"/>
      <c r="J14" s="556"/>
      <c r="K14" s="556"/>
      <c r="L14" s="556"/>
      <c r="M14" s="556"/>
      <c r="N14" s="556"/>
      <c r="O14" s="556"/>
      <c r="P14" s="556"/>
      <c r="Q14" s="556"/>
      <c r="R14" s="397"/>
      <c r="S14" s="420"/>
    </row>
    <row r="15" spans="3:19">
      <c r="C15" s="545"/>
      <c r="D15" s="543"/>
      <c r="E15" s="547" t="s">
        <v>146</v>
      </c>
      <c r="F15" s="28" t="s">
        <v>207</v>
      </c>
      <c r="H15" s="380">
        <f t="shared" ref="H15:Q15" si="2">IF(H13="",H12,H13)*H14</f>
        <v>0</v>
      </c>
      <c r="I15" s="380">
        <f t="shared" si="2"/>
        <v>0</v>
      </c>
      <c r="J15" s="380">
        <f t="shared" si="2"/>
        <v>0</v>
      </c>
      <c r="K15" s="380">
        <f t="shared" si="2"/>
        <v>0</v>
      </c>
      <c r="L15" s="380">
        <f t="shared" si="2"/>
        <v>0</v>
      </c>
      <c r="M15" s="380">
        <f t="shared" si="2"/>
        <v>0</v>
      </c>
      <c r="N15" s="380">
        <f t="shared" si="2"/>
        <v>0</v>
      </c>
      <c r="O15" s="380">
        <f t="shared" si="2"/>
        <v>0</v>
      </c>
      <c r="P15" s="380">
        <f t="shared" si="2"/>
        <v>0</v>
      </c>
      <c r="Q15" s="380">
        <f t="shared" si="2"/>
        <v>0</v>
      </c>
      <c r="R15" s="397"/>
      <c r="S15" s="420"/>
    </row>
    <row r="16" spans="3:19" ht="33.75">
      <c r="C16" s="545"/>
      <c r="D16" s="544" t="s">
        <v>904</v>
      </c>
      <c r="E16" s="337" t="s">
        <v>900</v>
      </c>
      <c r="F16" s="28" t="s">
        <v>123</v>
      </c>
      <c r="G16" s="323"/>
      <c r="H16" s="503" t="s">
        <v>905</v>
      </c>
      <c r="I16" s="503" t="s">
        <v>905</v>
      </c>
      <c r="J16" s="503" t="s">
        <v>905</v>
      </c>
      <c r="K16" s="503" t="s">
        <v>905</v>
      </c>
      <c r="L16" s="503" t="s">
        <v>905</v>
      </c>
      <c r="M16" s="503" t="s">
        <v>905</v>
      </c>
      <c r="N16" s="503" t="s">
        <v>905</v>
      </c>
      <c r="O16" s="503" t="s">
        <v>905</v>
      </c>
      <c r="P16" s="503" t="s">
        <v>905</v>
      </c>
      <c r="Q16" s="503" t="s">
        <v>905</v>
      </c>
      <c r="R16" s="397"/>
      <c r="S16" s="420"/>
    </row>
    <row r="17" spans="3:19">
      <c r="C17" s="545"/>
      <c r="D17" s="546"/>
      <c r="E17" s="547" t="s">
        <v>227</v>
      </c>
      <c r="F17" s="28" t="s">
        <v>329</v>
      </c>
      <c r="H17" s="342">
        <f t="shared" ref="H17:Q17" si="3">_xlfn.XLOOKUP(H16,Dam_process_names_CS,Dam_process_rates_CS)</f>
        <v>43873.100677884708</v>
      </c>
      <c r="I17" s="342">
        <f t="shared" si="3"/>
        <v>43873.100677884708</v>
      </c>
      <c r="J17" s="342">
        <f t="shared" si="3"/>
        <v>43873.100677884708</v>
      </c>
      <c r="K17" s="342">
        <f t="shared" si="3"/>
        <v>43873.100677884708</v>
      </c>
      <c r="L17" s="342">
        <f t="shared" si="3"/>
        <v>43873.100677884708</v>
      </c>
      <c r="M17" s="342">
        <f t="shared" si="3"/>
        <v>43873.100677884708</v>
      </c>
      <c r="N17" s="342">
        <f t="shared" si="3"/>
        <v>43873.100677884708</v>
      </c>
      <c r="O17" s="342">
        <f t="shared" si="3"/>
        <v>43873.100677884708</v>
      </c>
      <c r="P17" s="342">
        <f t="shared" si="3"/>
        <v>43873.100677884708</v>
      </c>
      <c r="Q17" s="342">
        <f t="shared" si="3"/>
        <v>43873.100677884708</v>
      </c>
      <c r="R17" s="397"/>
      <c r="S17" s="427"/>
    </row>
    <row r="18" spans="3:19">
      <c r="C18" s="545"/>
      <c r="D18" s="546"/>
      <c r="E18" s="547" t="s">
        <v>229</v>
      </c>
      <c r="F18" s="28" t="s">
        <v>329</v>
      </c>
      <c r="H18" s="414"/>
      <c r="I18" s="414"/>
      <c r="J18" s="414"/>
      <c r="K18" s="414"/>
      <c r="L18" s="414"/>
      <c r="M18" s="414"/>
      <c r="N18" s="414"/>
      <c r="O18" s="414"/>
      <c r="P18" s="414"/>
      <c r="Q18" s="414"/>
      <c r="R18" s="397"/>
      <c r="S18" s="427"/>
    </row>
    <row r="19" spans="3:19">
      <c r="C19" s="545"/>
      <c r="D19" s="546"/>
      <c r="E19" s="547" t="s">
        <v>903</v>
      </c>
      <c r="F19" s="28" t="s">
        <v>199</v>
      </c>
      <c r="H19" s="556"/>
      <c r="I19" s="556"/>
      <c r="J19" s="556"/>
      <c r="K19" s="556"/>
      <c r="L19" s="556"/>
      <c r="M19" s="556"/>
      <c r="N19" s="556"/>
      <c r="O19" s="556"/>
      <c r="P19" s="556"/>
      <c r="Q19" s="556"/>
      <c r="R19" s="397"/>
      <c r="S19" s="420"/>
    </row>
    <row r="20" spans="3:19">
      <c r="C20" s="545"/>
      <c r="D20" s="543"/>
      <c r="E20" s="547" t="s">
        <v>146</v>
      </c>
      <c r="F20" s="28" t="s">
        <v>207</v>
      </c>
      <c r="H20" s="380">
        <f t="shared" ref="H20:Q20" si="4">IF(H18="",H17,H18)*H19</f>
        <v>0</v>
      </c>
      <c r="I20" s="380">
        <f t="shared" si="4"/>
        <v>0</v>
      </c>
      <c r="J20" s="380">
        <f t="shared" si="4"/>
        <v>0</v>
      </c>
      <c r="K20" s="380">
        <f t="shared" si="4"/>
        <v>0</v>
      </c>
      <c r="L20" s="380">
        <f t="shared" si="4"/>
        <v>0</v>
      </c>
      <c r="M20" s="380">
        <f t="shared" si="4"/>
        <v>0</v>
      </c>
      <c r="N20" s="380">
        <f t="shared" si="4"/>
        <v>0</v>
      </c>
      <c r="O20" s="380">
        <f t="shared" si="4"/>
        <v>0</v>
      </c>
      <c r="P20" s="380">
        <f t="shared" si="4"/>
        <v>0</v>
      </c>
      <c r="Q20" s="380">
        <f t="shared" si="4"/>
        <v>0</v>
      </c>
      <c r="R20" s="397"/>
      <c r="S20" s="420"/>
    </row>
    <row r="21" spans="3:19" ht="22.5">
      <c r="C21" s="545"/>
      <c r="D21" s="544" t="s">
        <v>906</v>
      </c>
      <c r="E21" s="337" t="s">
        <v>900</v>
      </c>
      <c r="F21" s="28" t="s">
        <v>123</v>
      </c>
      <c r="G21" s="323"/>
      <c r="H21" s="503" t="s">
        <v>907</v>
      </c>
      <c r="I21" s="503" t="s">
        <v>907</v>
      </c>
      <c r="J21" s="503" t="s">
        <v>907</v>
      </c>
      <c r="K21" s="503" t="s">
        <v>907</v>
      </c>
      <c r="L21" s="503" t="s">
        <v>907</v>
      </c>
      <c r="M21" s="503" t="s">
        <v>907</v>
      </c>
      <c r="N21" s="503" t="s">
        <v>907</v>
      </c>
      <c r="O21" s="503" t="s">
        <v>907</v>
      </c>
      <c r="P21" s="503" t="s">
        <v>907</v>
      </c>
      <c r="Q21" s="503" t="s">
        <v>907</v>
      </c>
      <c r="R21" s="397"/>
      <c r="S21" s="420"/>
    </row>
    <row r="22" spans="3:19">
      <c r="C22" s="545"/>
      <c r="D22" s="546"/>
      <c r="E22" s="547" t="s">
        <v>903</v>
      </c>
      <c r="F22" s="28" t="s">
        <v>199</v>
      </c>
      <c r="H22" s="557"/>
      <c r="I22" s="557"/>
      <c r="J22" s="557"/>
      <c r="K22" s="557"/>
      <c r="L22" s="557"/>
      <c r="M22" s="557"/>
      <c r="N22" s="557"/>
      <c r="O22" s="557"/>
      <c r="P22" s="557"/>
      <c r="Q22" s="557"/>
      <c r="R22" s="397"/>
      <c r="S22" s="420"/>
    </row>
    <row r="23" spans="3:19">
      <c r="C23" s="545"/>
      <c r="D23" s="546"/>
      <c r="E23" s="547" t="s">
        <v>227</v>
      </c>
      <c r="F23" s="28" t="s">
        <v>329</v>
      </c>
      <c r="H23" s="342">
        <f t="shared" ref="H23:Q23" si="5">_xlfn.XLOOKUP(H21,Dam_raw_names_CS,Dam_raw_rates_CS)</f>
        <v>44919.285552261928</v>
      </c>
      <c r="I23" s="342">
        <f t="shared" si="5"/>
        <v>44919.285552261928</v>
      </c>
      <c r="J23" s="342">
        <f t="shared" si="5"/>
        <v>44919.285552261928</v>
      </c>
      <c r="K23" s="342">
        <f t="shared" si="5"/>
        <v>44919.285552261928</v>
      </c>
      <c r="L23" s="342">
        <f t="shared" si="5"/>
        <v>44919.285552261928</v>
      </c>
      <c r="M23" s="342">
        <f t="shared" si="5"/>
        <v>44919.285552261928</v>
      </c>
      <c r="N23" s="342">
        <f t="shared" si="5"/>
        <v>44919.285552261928</v>
      </c>
      <c r="O23" s="342">
        <f t="shared" si="5"/>
        <v>44919.285552261928</v>
      </c>
      <c r="P23" s="342">
        <f t="shared" si="5"/>
        <v>44919.285552261928</v>
      </c>
      <c r="Q23" s="342">
        <f t="shared" si="5"/>
        <v>44919.285552261928</v>
      </c>
      <c r="R23" s="397"/>
      <c r="S23" s="427"/>
    </row>
    <row r="24" spans="3:19">
      <c r="C24" s="545"/>
      <c r="D24" s="546"/>
      <c r="E24" s="547" t="s">
        <v>229</v>
      </c>
      <c r="F24" s="28" t="s">
        <v>329</v>
      </c>
      <c r="H24" s="414"/>
      <c r="I24" s="414"/>
      <c r="J24" s="414"/>
      <c r="K24" s="414"/>
      <c r="L24" s="414"/>
      <c r="M24" s="414"/>
      <c r="N24" s="414"/>
      <c r="O24" s="414"/>
      <c r="P24" s="414"/>
      <c r="Q24" s="414"/>
      <c r="R24" s="397"/>
      <c r="S24" s="427"/>
    </row>
    <row r="25" spans="3:19">
      <c r="C25" s="545"/>
      <c r="D25" s="543"/>
      <c r="E25" s="547" t="s">
        <v>146</v>
      </c>
      <c r="F25" s="28" t="s">
        <v>207</v>
      </c>
      <c r="H25" s="380">
        <f t="shared" ref="H25:Q25" si="6">IF(H24="",H23,H24)*H22</f>
        <v>0</v>
      </c>
      <c r="I25" s="380">
        <f t="shared" si="6"/>
        <v>0</v>
      </c>
      <c r="J25" s="380">
        <f t="shared" si="6"/>
        <v>0</v>
      </c>
      <c r="K25" s="380">
        <f t="shared" si="6"/>
        <v>0</v>
      </c>
      <c r="L25" s="380">
        <f t="shared" si="6"/>
        <v>0</v>
      </c>
      <c r="M25" s="380">
        <f t="shared" si="6"/>
        <v>0</v>
      </c>
      <c r="N25" s="380">
        <f t="shared" si="6"/>
        <v>0</v>
      </c>
      <c r="O25" s="380">
        <f t="shared" si="6"/>
        <v>0</v>
      </c>
      <c r="P25" s="380">
        <f t="shared" si="6"/>
        <v>0</v>
      </c>
      <c r="Q25" s="380">
        <f t="shared" si="6"/>
        <v>0</v>
      </c>
      <c r="R25" s="397"/>
      <c r="S25" s="420"/>
    </row>
    <row r="26" spans="3:19" ht="33.75">
      <c r="C26" s="545"/>
      <c r="D26" s="544" t="s">
        <v>908</v>
      </c>
      <c r="E26" s="337" t="s">
        <v>900</v>
      </c>
      <c r="F26" s="28" t="s">
        <v>123</v>
      </c>
      <c r="G26" s="323"/>
      <c r="H26" s="503" t="s">
        <v>909</v>
      </c>
      <c r="I26" s="503" t="s">
        <v>909</v>
      </c>
      <c r="J26" s="503" t="s">
        <v>909</v>
      </c>
      <c r="K26" s="503" t="s">
        <v>909</v>
      </c>
      <c r="L26" s="503" t="s">
        <v>909</v>
      </c>
      <c r="M26" s="503" t="s">
        <v>909</v>
      </c>
      <c r="N26" s="503" t="s">
        <v>909</v>
      </c>
      <c r="O26" s="503" t="s">
        <v>909</v>
      </c>
      <c r="P26" s="503" t="s">
        <v>909</v>
      </c>
      <c r="Q26" s="503" t="s">
        <v>909</v>
      </c>
      <c r="R26" s="397"/>
      <c r="S26" s="420"/>
    </row>
    <row r="27" spans="3:19">
      <c r="C27" s="545"/>
      <c r="D27" s="546"/>
      <c r="E27" s="547" t="s">
        <v>903</v>
      </c>
      <c r="F27" s="28" t="s">
        <v>199</v>
      </c>
      <c r="H27" s="557"/>
      <c r="I27" s="557"/>
      <c r="J27" s="557"/>
      <c r="K27" s="557"/>
      <c r="L27" s="557"/>
      <c r="M27" s="557"/>
      <c r="N27" s="557"/>
      <c r="O27" s="557"/>
      <c r="P27" s="557"/>
      <c r="Q27" s="557"/>
      <c r="R27" s="397"/>
      <c r="S27" s="420"/>
    </row>
    <row r="28" spans="3:19">
      <c r="C28" s="545"/>
      <c r="D28" s="546"/>
      <c r="E28" s="547" t="s">
        <v>227</v>
      </c>
      <c r="F28" s="28" t="s">
        <v>329</v>
      </c>
      <c r="H28" s="342">
        <f t="shared" ref="H28:Q28" si="7">_xlfn.XLOOKUP(H26,Dam_evap_names_CS,Dam_evap_rates_CS)</f>
        <v>399554.71058407513</v>
      </c>
      <c r="I28" s="342">
        <f t="shared" si="7"/>
        <v>399554.71058407513</v>
      </c>
      <c r="J28" s="342">
        <f t="shared" si="7"/>
        <v>399554.71058407513</v>
      </c>
      <c r="K28" s="342">
        <f t="shared" si="7"/>
        <v>399554.71058407513</v>
      </c>
      <c r="L28" s="342">
        <f t="shared" si="7"/>
        <v>399554.71058407513</v>
      </c>
      <c r="M28" s="342">
        <f t="shared" si="7"/>
        <v>399554.71058407513</v>
      </c>
      <c r="N28" s="342">
        <f t="shared" si="7"/>
        <v>399554.71058407513</v>
      </c>
      <c r="O28" s="342">
        <f t="shared" si="7"/>
        <v>399554.71058407513</v>
      </c>
      <c r="P28" s="342">
        <f t="shared" si="7"/>
        <v>399554.71058407513</v>
      </c>
      <c r="Q28" s="342">
        <f t="shared" si="7"/>
        <v>399554.71058407513</v>
      </c>
      <c r="R28" s="397"/>
      <c r="S28" s="427"/>
    </row>
    <row r="29" spans="3:19">
      <c r="C29" s="545"/>
      <c r="D29" s="546"/>
      <c r="E29" s="547" t="s">
        <v>229</v>
      </c>
      <c r="F29" s="28" t="s">
        <v>329</v>
      </c>
      <c r="H29" s="414"/>
      <c r="I29" s="414"/>
      <c r="J29" s="414"/>
      <c r="K29" s="414"/>
      <c r="L29" s="414"/>
      <c r="M29" s="414"/>
      <c r="N29" s="414"/>
      <c r="O29" s="414"/>
      <c r="P29" s="414"/>
      <c r="Q29" s="414"/>
      <c r="R29" s="397"/>
      <c r="S29" s="427"/>
    </row>
    <row r="30" spans="3:19">
      <c r="C30" s="548"/>
      <c r="D30" s="543"/>
      <c r="E30" s="547" t="s">
        <v>146</v>
      </c>
      <c r="F30" s="28" t="s">
        <v>207</v>
      </c>
      <c r="H30" s="380">
        <f t="shared" ref="H30:Q30" si="8">IF(H29="",H28,H29)*H27</f>
        <v>0</v>
      </c>
      <c r="I30" s="380">
        <f t="shared" si="8"/>
        <v>0</v>
      </c>
      <c r="J30" s="380">
        <f t="shared" si="8"/>
        <v>0</v>
      </c>
      <c r="K30" s="380">
        <f t="shared" si="8"/>
        <v>0</v>
      </c>
      <c r="L30" s="380">
        <f t="shared" si="8"/>
        <v>0</v>
      </c>
      <c r="M30" s="380">
        <f t="shared" si="8"/>
        <v>0</v>
      </c>
      <c r="N30" s="380">
        <f t="shared" si="8"/>
        <v>0</v>
      </c>
      <c r="O30" s="380">
        <f t="shared" si="8"/>
        <v>0</v>
      </c>
      <c r="P30" s="380">
        <f t="shared" si="8"/>
        <v>0</v>
      </c>
      <c r="Q30" s="380">
        <f t="shared" si="8"/>
        <v>0</v>
      </c>
      <c r="R30" s="397"/>
      <c r="S30" s="420"/>
    </row>
    <row r="31" spans="3:19" ht="22.5">
      <c r="C31" s="549" t="s">
        <v>910</v>
      </c>
      <c r="D31" s="544" t="s">
        <v>911</v>
      </c>
      <c r="E31" s="337" t="s">
        <v>900</v>
      </c>
      <c r="F31" s="28" t="s">
        <v>123</v>
      </c>
      <c r="G31" s="323"/>
      <c r="H31" s="503" t="s">
        <v>912</v>
      </c>
      <c r="I31" s="503" t="s">
        <v>912</v>
      </c>
      <c r="J31" s="503" t="s">
        <v>912</v>
      </c>
      <c r="K31" s="503" t="s">
        <v>901</v>
      </c>
      <c r="L31" s="503" t="s">
        <v>901</v>
      </c>
      <c r="M31" s="503" t="s">
        <v>901</v>
      </c>
      <c r="N31" s="503" t="s">
        <v>901</v>
      </c>
      <c r="O31" s="503" t="s">
        <v>901</v>
      </c>
      <c r="P31" s="503" t="s">
        <v>901</v>
      </c>
      <c r="Q31" s="503" t="s">
        <v>901</v>
      </c>
      <c r="R31" s="397"/>
      <c r="S31" s="420"/>
    </row>
    <row r="32" spans="3:19">
      <c r="C32" s="545"/>
      <c r="D32" s="546"/>
      <c r="E32" s="547" t="s">
        <v>903</v>
      </c>
      <c r="F32" s="28" t="s">
        <v>199</v>
      </c>
      <c r="H32" s="557">
        <v>1</v>
      </c>
      <c r="I32" s="557">
        <v>1</v>
      </c>
      <c r="J32" s="557">
        <v>1</v>
      </c>
      <c r="K32" s="557">
        <v>1</v>
      </c>
      <c r="L32" s="557">
        <v>3</v>
      </c>
      <c r="M32" s="557"/>
      <c r="N32" s="557"/>
      <c r="O32" s="557"/>
      <c r="P32" s="557"/>
      <c r="Q32" s="557"/>
      <c r="R32" s="397"/>
      <c r="S32" s="420"/>
    </row>
    <row r="33" spans="3:19">
      <c r="C33" s="545"/>
      <c r="D33" s="546"/>
      <c r="E33" s="547" t="s">
        <v>227</v>
      </c>
      <c r="F33" s="28" t="s">
        <v>329</v>
      </c>
      <c r="H33" s="342">
        <f t="shared" ref="H33:Q33" si="9">_xlfn.XLOOKUP(H31, Clean_water_retained_names_CS,Clean_water_retained_rates_CS)</f>
        <v>11785.763411499132</v>
      </c>
      <c r="I33" s="342">
        <f t="shared" si="9"/>
        <v>11785.763411499132</v>
      </c>
      <c r="J33" s="342">
        <f t="shared" si="9"/>
        <v>11785.763411499132</v>
      </c>
      <c r="K33" s="342">
        <f t="shared" si="9"/>
        <v>2716.0659319577553</v>
      </c>
      <c r="L33" s="342">
        <f t="shared" si="9"/>
        <v>2716.0659319577553</v>
      </c>
      <c r="M33" s="342">
        <f t="shared" si="9"/>
        <v>2716.0659319577553</v>
      </c>
      <c r="N33" s="342">
        <f t="shared" si="9"/>
        <v>2716.0659319577553</v>
      </c>
      <c r="O33" s="342">
        <f t="shared" si="9"/>
        <v>2716.0659319577553</v>
      </c>
      <c r="P33" s="342">
        <f t="shared" si="9"/>
        <v>2716.0659319577553</v>
      </c>
      <c r="Q33" s="342">
        <f t="shared" si="9"/>
        <v>2716.0659319577553</v>
      </c>
      <c r="R33" s="397"/>
      <c r="S33" s="427"/>
    </row>
    <row r="34" spans="3:19">
      <c r="C34" s="545"/>
      <c r="D34" s="546"/>
      <c r="E34" s="547" t="s">
        <v>229</v>
      </c>
      <c r="F34" s="28" t="s">
        <v>329</v>
      </c>
      <c r="H34" s="414"/>
      <c r="I34" s="414"/>
      <c r="J34" s="414"/>
      <c r="K34" s="414"/>
      <c r="L34" s="414"/>
      <c r="M34" s="414"/>
      <c r="N34" s="414"/>
      <c r="O34" s="414"/>
      <c r="P34" s="414"/>
      <c r="Q34" s="414"/>
      <c r="R34" s="397"/>
      <c r="S34" s="427"/>
    </row>
    <row r="35" spans="3:19">
      <c r="C35" s="548"/>
      <c r="D35" s="543"/>
      <c r="E35" s="547" t="s">
        <v>146</v>
      </c>
      <c r="F35" s="28" t="s">
        <v>207</v>
      </c>
      <c r="H35" s="380">
        <f t="shared" ref="H35:Q35" si="10">IF(H34="",H33,H34)*H32</f>
        <v>11785.763411499132</v>
      </c>
      <c r="I35" s="380">
        <f t="shared" si="10"/>
        <v>11785.763411499132</v>
      </c>
      <c r="J35" s="380">
        <f t="shared" si="10"/>
        <v>11785.763411499132</v>
      </c>
      <c r="K35" s="380">
        <f t="shared" si="10"/>
        <v>2716.0659319577553</v>
      </c>
      <c r="L35" s="380">
        <f t="shared" si="10"/>
        <v>8148.1977958732659</v>
      </c>
      <c r="M35" s="380">
        <f t="shared" si="10"/>
        <v>0</v>
      </c>
      <c r="N35" s="380">
        <f t="shared" si="10"/>
        <v>0</v>
      </c>
      <c r="O35" s="380">
        <f t="shared" si="10"/>
        <v>0</v>
      </c>
      <c r="P35" s="380">
        <f t="shared" si="10"/>
        <v>0</v>
      </c>
      <c r="Q35" s="380">
        <f t="shared" si="10"/>
        <v>0</v>
      </c>
      <c r="R35" s="397"/>
      <c r="S35" s="420"/>
    </row>
    <row r="36" spans="3:19" ht="22.5">
      <c r="C36" s="549" t="s">
        <v>913</v>
      </c>
      <c r="D36" s="544" t="s">
        <v>914</v>
      </c>
      <c r="E36" s="337" t="s">
        <v>774</v>
      </c>
      <c r="F36" s="28" t="s">
        <v>123</v>
      </c>
      <c r="G36" s="323"/>
      <c r="H36" s="503" t="s">
        <v>915</v>
      </c>
      <c r="I36" s="503" t="s">
        <v>915</v>
      </c>
      <c r="J36" s="503" t="s">
        <v>915</v>
      </c>
      <c r="K36" s="503" t="s">
        <v>915</v>
      </c>
      <c r="L36" s="503" t="s">
        <v>915</v>
      </c>
      <c r="M36" s="503" t="s">
        <v>915</v>
      </c>
      <c r="N36" s="503" t="s">
        <v>915</v>
      </c>
      <c r="O36" s="503" t="s">
        <v>915</v>
      </c>
      <c r="P36" s="503" t="s">
        <v>915</v>
      </c>
      <c r="Q36" s="503" t="s">
        <v>915</v>
      </c>
      <c r="R36" s="397"/>
      <c r="S36" s="420"/>
    </row>
    <row r="37" spans="3:19">
      <c r="C37" s="545"/>
      <c r="D37" s="546"/>
      <c r="E37" s="547" t="s">
        <v>916</v>
      </c>
      <c r="F37" s="28" t="s">
        <v>219</v>
      </c>
      <c r="H37" s="558"/>
      <c r="I37" s="558"/>
      <c r="J37" s="558"/>
      <c r="K37" s="558"/>
      <c r="L37" s="558">
        <f>+(0.46+0.095+0.104)*2*10000</f>
        <v>13180</v>
      </c>
      <c r="M37" s="558"/>
      <c r="N37" s="558"/>
      <c r="O37" s="558"/>
      <c r="P37" s="558"/>
      <c r="Q37" s="558"/>
      <c r="R37" s="397"/>
      <c r="S37" s="420"/>
    </row>
    <row r="38" spans="3:19">
      <c r="C38" s="545"/>
      <c r="D38" s="546"/>
      <c r="E38" s="547" t="s">
        <v>227</v>
      </c>
      <c r="F38" s="28" t="s">
        <v>241</v>
      </c>
      <c r="H38" s="342">
        <f t="shared" ref="H38:Q38" si="11">_xlfn.XLOOKUP(H36,Remove_sediment_and_haul_names_CS,Remove_sediment_and_haul_rates_CS)</f>
        <v>5.4499050940062554</v>
      </c>
      <c r="I38" s="342">
        <f t="shared" si="11"/>
        <v>5.4499050940062554</v>
      </c>
      <c r="J38" s="342">
        <f t="shared" si="11"/>
        <v>5.4499050940062554</v>
      </c>
      <c r="K38" s="342">
        <f t="shared" si="11"/>
        <v>5.4499050940062554</v>
      </c>
      <c r="L38" s="342">
        <f t="shared" si="11"/>
        <v>5.4499050940062554</v>
      </c>
      <c r="M38" s="342">
        <f t="shared" si="11"/>
        <v>5.4499050940062554</v>
      </c>
      <c r="N38" s="342">
        <f t="shared" si="11"/>
        <v>5.4499050940062554</v>
      </c>
      <c r="O38" s="342">
        <f t="shared" si="11"/>
        <v>5.4499050940062554</v>
      </c>
      <c r="P38" s="342">
        <f t="shared" si="11"/>
        <v>5.4499050940062554</v>
      </c>
      <c r="Q38" s="342">
        <f t="shared" si="11"/>
        <v>5.4499050940062554</v>
      </c>
      <c r="R38" s="397"/>
      <c r="S38" s="427"/>
    </row>
    <row r="39" spans="3:19">
      <c r="C39" s="545"/>
      <c r="D39" s="546"/>
      <c r="E39" s="547" t="s">
        <v>229</v>
      </c>
      <c r="F39" s="28" t="s">
        <v>241</v>
      </c>
      <c r="H39" s="414"/>
      <c r="I39" s="414"/>
      <c r="J39" s="414"/>
      <c r="K39" s="414"/>
      <c r="L39" s="414"/>
      <c r="M39" s="414"/>
      <c r="N39" s="414"/>
      <c r="O39" s="414"/>
      <c r="P39" s="414"/>
      <c r="Q39" s="415"/>
      <c r="R39" s="397"/>
      <c r="S39" s="427"/>
    </row>
    <row r="40" spans="3:19">
      <c r="C40" s="548"/>
      <c r="D40" s="543"/>
      <c r="E40" s="547" t="s">
        <v>146</v>
      </c>
      <c r="F40" s="28" t="s">
        <v>207</v>
      </c>
      <c r="H40" s="380">
        <f t="shared" ref="H40:Q40" si="12">IF(H39="",H38,H39)*H37</f>
        <v>0</v>
      </c>
      <c r="I40" s="380">
        <f t="shared" si="12"/>
        <v>0</v>
      </c>
      <c r="J40" s="380">
        <f t="shared" si="12"/>
        <v>0</v>
      </c>
      <c r="K40" s="380">
        <f t="shared" si="12"/>
        <v>0</v>
      </c>
      <c r="L40" s="380">
        <f t="shared" si="12"/>
        <v>71829.749139002452</v>
      </c>
      <c r="M40" s="380">
        <f t="shared" si="12"/>
        <v>0</v>
      </c>
      <c r="N40" s="380">
        <f t="shared" si="12"/>
        <v>0</v>
      </c>
      <c r="O40" s="380">
        <f t="shared" si="12"/>
        <v>0</v>
      </c>
      <c r="P40" s="380">
        <f t="shared" si="12"/>
        <v>0</v>
      </c>
      <c r="Q40" s="380">
        <f t="shared" si="12"/>
        <v>0</v>
      </c>
      <c r="R40" s="397"/>
      <c r="S40" s="420"/>
    </row>
    <row r="41" spans="3:19">
      <c r="C41" s="549" t="s">
        <v>917</v>
      </c>
      <c r="D41" s="544" t="s">
        <v>914</v>
      </c>
      <c r="E41" s="547" t="s">
        <v>355</v>
      </c>
      <c r="F41" s="28" t="s">
        <v>199</v>
      </c>
      <c r="H41" s="558">
        <v>1</v>
      </c>
      <c r="I41" s="558"/>
      <c r="J41" s="558"/>
      <c r="K41" s="558"/>
      <c r="L41" s="558"/>
      <c r="M41" s="558"/>
      <c r="N41" s="558"/>
      <c r="O41" s="558"/>
      <c r="P41" s="558"/>
      <c r="Q41" s="558"/>
      <c r="R41" s="397"/>
      <c r="S41" s="420"/>
    </row>
    <row r="42" spans="3:19">
      <c r="C42" s="545"/>
      <c r="D42" s="546"/>
      <c r="E42" s="547" t="s">
        <v>227</v>
      </c>
      <c r="F42" s="28" t="s">
        <v>352</v>
      </c>
      <c r="H42" s="342">
        <f>'Cost Schedule'!$D$203</f>
        <v>25624.456470396457</v>
      </c>
      <c r="I42" s="342">
        <f>'Cost Schedule'!$D$203</f>
        <v>25624.456470396457</v>
      </c>
      <c r="J42" s="342">
        <f>'Cost Schedule'!$D$203</f>
        <v>25624.456470396457</v>
      </c>
      <c r="K42" s="342">
        <f>'Cost Schedule'!$D$203</f>
        <v>25624.456470396457</v>
      </c>
      <c r="L42" s="342">
        <f>'Cost Schedule'!$D$203</f>
        <v>25624.456470396457</v>
      </c>
      <c r="M42" s="342">
        <f>'Cost Schedule'!$D$203</f>
        <v>25624.456470396457</v>
      </c>
      <c r="N42" s="342">
        <f>'Cost Schedule'!$D$203</f>
        <v>25624.456470396457</v>
      </c>
      <c r="O42" s="342">
        <f>'Cost Schedule'!$D$203</f>
        <v>25624.456470396457</v>
      </c>
      <c r="P42" s="342">
        <f>'Cost Schedule'!$D$203</f>
        <v>25624.456470396457</v>
      </c>
      <c r="Q42" s="342">
        <f>'Cost Schedule'!$D$203</f>
        <v>25624.456470396457</v>
      </c>
      <c r="R42" s="397"/>
      <c r="S42" s="427"/>
    </row>
    <row r="43" spans="3:19">
      <c r="C43" s="545"/>
      <c r="D43" s="546"/>
      <c r="E43" s="547" t="s">
        <v>229</v>
      </c>
      <c r="F43" s="28" t="s">
        <v>352</v>
      </c>
      <c r="H43" s="414"/>
      <c r="I43" s="414"/>
      <c r="J43" s="414"/>
      <c r="K43" s="414"/>
      <c r="L43" s="414"/>
      <c r="M43" s="414"/>
      <c r="N43" s="414"/>
      <c r="O43" s="414"/>
      <c r="P43" s="414"/>
      <c r="Q43" s="414"/>
      <c r="R43" s="397"/>
      <c r="S43" s="427"/>
    </row>
    <row r="44" spans="3:19">
      <c r="C44" s="548"/>
      <c r="D44" s="543"/>
      <c r="E44" s="547" t="s">
        <v>146</v>
      </c>
      <c r="F44" s="28" t="s">
        <v>207</v>
      </c>
      <c r="H44" s="380">
        <f t="shared" ref="H44:Q44" si="13">IF(H43="",H42,H43)*H41</f>
        <v>25624.456470396457</v>
      </c>
      <c r="I44" s="380">
        <f t="shared" si="13"/>
        <v>0</v>
      </c>
      <c r="J44" s="380">
        <f t="shared" si="13"/>
        <v>0</v>
      </c>
      <c r="K44" s="380">
        <f t="shared" si="13"/>
        <v>0</v>
      </c>
      <c r="L44" s="380">
        <f t="shared" si="13"/>
        <v>0</v>
      </c>
      <c r="M44" s="380">
        <f t="shared" si="13"/>
        <v>0</v>
      </c>
      <c r="N44" s="380">
        <f t="shared" si="13"/>
        <v>0</v>
      </c>
      <c r="O44" s="380">
        <f t="shared" si="13"/>
        <v>0</v>
      </c>
      <c r="P44" s="380">
        <f t="shared" si="13"/>
        <v>0</v>
      </c>
      <c r="Q44" s="380">
        <f t="shared" si="13"/>
        <v>0</v>
      </c>
      <c r="R44" s="397"/>
      <c r="S44" s="420"/>
    </row>
    <row r="45" spans="3:19">
      <c r="C45" s="550"/>
      <c r="D45" s="551"/>
      <c r="E45" s="552" t="str">
        <f>C11</f>
        <v>Decommission and rehabilitate ponds (defaults)</v>
      </c>
      <c r="F45" s="72" t="s">
        <v>207</v>
      </c>
      <c r="G45" s="63"/>
      <c r="H45" s="392">
        <f>H15+H20+H25+H30+H35+H40+H44</f>
        <v>37410.219881895588</v>
      </c>
      <c r="I45" s="392">
        <f t="shared" ref="I45:Q45" si="14">I15+I20+I25+I30+I35+I40+I44</f>
        <v>11785.763411499132</v>
      </c>
      <c r="J45" s="392">
        <f t="shared" si="14"/>
        <v>11785.763411499132</v>
      </c>
      <c r="K45" s="392">
        <f t="shared" si="14"/>
        <v>2716.0659319577553</v>
      </c>
      <c r="L45" s="392">
        <f t="shared" si="14"/>
        <v>79977.946934875712</v>
      </c>
      <c r="M45" s="392">
        <f t="shared" si="14"/>
        <v>0</v>
      </c>
      <c r="N45" s="392">
        <f t="shared" si="14"/>
        <v>0</v>
      </c>
      <c r="O45" s="392">
        <f t="shared" si="14"/>
        <v>0</v>
      </c>
      <c r="P45" s="392">
        <f t="shared" si="14"/>
        <v>0</v>
      </c>
      <c r="Q45" s="392">
        <f t="shared" si="14"/>
        <v>0</v>
      </c>
      <c r="R45" s="397"/>
      <c r="S45" s="420"/>
    </row>
    <row r="46" spans="3:19">
      <c r="C46" s="553" t="s">
        <v>918</v>
      </c>
      <c r="D46" s="544" t="s">
        <v>919</v>
      </c>
      <c r="E46" s="337" t="s">
        <v>920</v>
      </c>
      <c r="F46" s="28" t="s">
        <v>411</v>
      </c>
      <c r="G46" s="323"/>
      <c r="H46" s="503" t="s">
        <v>577</v>
      </c>
      <c r="I46" s="503" t="s">
        <v>545</v>
      </c>
      <c r="J46" s="503" t="s">
        <v>545</v>
      </c>
      <c r="K46" s="503" t="s">
        <v>545</v>
      </c>
      <c r="L46" s="503" t="s">
        <v>545</v>
      </c>
      <c r="M46" s="503" t="s">
        <v>545</v>
      </c>
      <c r="N46" s="503" t="s">
        <v>545</v>
      </c>
      <c r="O46" s="503" t="s">
        <v>545</v>
      </c>
      <c r="P46" s="503" t="s">
        <v>545</v>
      </c>
      <c r="Q46" s="503" t="s">
        <v>545</v>
      </c>
      <c r="R46" s="397"/>
      <c r="S46" s="329"/>
    </row>
    <row r="47" spans="3:19">
      <c r="C47" s="545"/>
      <c r="D47" s="546"/>
      <c r="E47" s="547" t="s">
        <v>227</v>
      </c>
      <c r="F47" s="28" t="s">
        <v>921</v>
      </c>
      <c r="H47" s="342">
        <f t="shared" ref="H47:Q47" si="15">_xlfn.XLOOKUP(H46,Load_and_haul_water_names_CS,Load_and_haul_water_rates_CS)</f>
        <v>1.7647215074723845</v>
      </c>
      <c r="I47" s="342">
        <f t="shared" si="15"/>
        <v>2.2742178037686811</v>
      </c>
      <c r="J47" s="342">
        <f t="shared" si="15"/>
        <v>2.2742178037686811</v>
      </c>
      <c r="K47" s="342">
        <f t="shared" si="15"/>
        <v>2.2742178037686811</v>
      </c>
      <c r="L47" s="342">
        <f t="shared" si="15"/>
        <v>2.2742178037686811</v>
      </c>
      <c r="M47" s="342">
        <f t="shared" si="15"/>
        <v>2.2742178037686811</v>
      </c>
      <c r="N47" s="342">
        <f t="shared" si="15"/>
        <v>2.2742178037686811</v>
      </c>
      <c r="O47" s="342">
        <f t="shared" si="15"/>
        <v>2.2742178037686811</v>
      </c>
      <c r="P47" s="342">
        <f t="shared" si="15"/>
        <v>2.2742178037686811</v>
      </c>
      <c r="Q47" s="342">
        <f t="shared" si="15"/>
        <v>2.2742178037686811</v>
      </c>
      <c r="R47" s="397"/>
      <c r="S47" s="427"/>
    </row>
    <row r="48" spans="3:19">
      <c r="C48" s="545"/>
      <c r="D48" s="546"/>
      <c r="E48" s="547" t="s">
        <v>229</v>
      </c>
      <c r="F48" s="28" t="s">
        <v>921</v>
      </c>
      <c r="H48" s="414"/>
      <c r="I48" s="414"/>
      <c r="J48" s="414"/>
      <c r="K48" s="414"/>
      <c r="L48" s="414"/>
      <c r="M48" s="414"/>
      <c r="N48" s="414"/>
      <c r="O48" s="414"/>
      <c r="P48" s="414"/>
      <c r="Q48" s="414"/>
      <c r="R48" s="397"/>
      <c r="S48" s="427"/>
    </row>
    <row r="49" spans="3:19">
      <c r="C49" s="545"/>
      <c r="D49" s="546"/>
      <c r="E49" s="547" t="s">
        <v>922</v>
      </c>
      <c r="F49" s="28" t="s">
        <v>923</v>
      </c>
      <c r="H49" s="556"/>
      <c r="I49" s="556"/>
      <c r="J49" s="556"/>
      <c r="K49" s="556"/>
      <c r="L49" s="556"/>
      <c r="M49" s="556"/>
      <c r="N49" s="556"/>
      <c r="O49" s="556"/>
      <c r="P49" s="556"/>
      <c r="Q49" s="556"/>
      <c r="R49" s="397"/>
      <c r="S49" s="420"/>
    </row>
    <row r="50" spans="3:19">
      <c r="C50" s="548"/>
      <c r="D50" s="543"/>
      <c r="E50" s="547" t="s">
        <v>146</v>
      </c>
      <c r="F50" s="28" t="s">
        <v>207</v>
      </c>
      <c r="H50" s="380">
        <f t="shared" ref="H50:Q50" si="16">IF(H48="",H47,H48)*H47*H49*_xlfn.XLOOKUP(H46,Long_haul_distance_names_L,Long_haul_distances_average_L)</f>
        <v>0</v>
      </c>
      <c r="I50" s="380">
        <f t="shared" si="16"/>
        <v>0</v>
      </c>
      <c r="J50" s="380">
        <f t="shared" si="16"/>
        <v>0</v>
      </c>
      <c r="K50" s="380">
        <f t="shared" si="16"/>
        <v>0</v>
      </c>
      <c r="L50" s="380">
        <f t="shared" si="16"/>
        <v>0</v>
      </c>
      <c r="M50" s="380">
        <f t="shared" si="16"/>
        <v>0</v>
      </c>
      <c r="N50" s="380">
        <f t="shared" si="16"/>
        <v>0</v>
      </c>
      <c r="O50" s="380">
        <f t="shared" si="16"/>
        <v>0</v>
      </c>
      <c r="P50" s="380">
        <f t="shared" si="16"/>
        <v>0</v>
      </c>
      <c r="Q50" s="380">
        <f t="shared" si="16"/>
        <v>0</v>
      </c>
      <c r="R50" s="397"/>
      <c r="S50" s="420"/>
    </row>
    <row r="51" spans="3:19">
      <c r="C51" s="550"/>
      <c r="D51" s="551"/>
      <c r="E51" s="552" t="str">
        <f>C46</f>
        <v>Water Load and Transport</v>
      </c>
      <c r="F51" s="72" t="s">
        <v>207</v>
      </c>
      <c r="G51" s="63"/>
      <c r="H51" s="392">
        <f t="shared" ref="H51:Q51" si="17">H50</f>
        <v>0</v>
      </c>
      <c r="I51" s="392">
        <f t="shared" si="17"/>
        <v>0</v>
      </c>
      <c r="J51" s="392">
        <f t="shared" si="17"/>
        <v>0</v>
      </c>
      <c r="K51" s="392">
        <f t="shared" si="17"/>
        <v>0</v>
      </c>
      <c r="L51" s="392">
        <f t="shared" si="17"/>
        <v>0</v>
      </c>
      <c r="M51" s="392">
        <f t="shared" si="17"/>
        <v>0</v>
      </c>
      <c r="N51" s="392">
        <f t="shared" si="17"/>
        <v>0</v>
      </c>
      <c r="O51" s="392">
        <f t="shared" si="17"/>
        <v>0</v>
      </c>
      <c r="P51" s="392">
        <f t="shared" si="17"/>
        <v>0</v>
      </c>
      <c r="Q51" s="392">
        <f t="shared" si="17"/>
        <v>0</v>
      </c>
      <c r="R51" s="397"/>
      <c r="S51" s="420"/>
    </row>
    <row r="52" spans="3:19">
      <c r="C52" s="553" t="s">
        <v>924</v>
      </c>
      <c r="D52" s="544" t="s">
        <v>925</v>
      </c>
      <c r="E52" s="337" t="s">
        <v>920</v>
      </c>
      <c r="F52" s="28" t="s">
        <v>411</v>
      </c>
      <c r="G52" s="323"/>
      <c r="H52" s="503" t="s">
        <v>577</v>
      </c>
      <c r="I52" s="503" t="s">
        <v>577</v>
      </c>
      <c r="J52" s="503" t="s">
        <v>577</v>
      </c>
      <c r="K52" s="503" t="s">
        <v>577</v>
      </c>
      <c r="L52" s="503" t="s">
        <v>577</v>
      </c>
      <c r="M52" s="503" t="s">
        <v>577</v>
      </c>
      <c r="N52" s="503" t="s">
        <v>577</v>
      </c>
      <c r="O52" s="503" t="s">
        <v>577</v>
      </c>
      <c r="P52" s="503" t="s">
        <v>577</v>
      </c>
      <c r="Q52" s="503" t="s">
        <v>577</v>
      </c>
      <c r="R52" s="397"/>
      <c r="S52" s="329"/>
    </row>
    <row r="53" spans="3:19">
      <c r="C53" s="545"/>
      <c r="D53" s="546"/>
      <c r="E53" s="547" t="s">
        <v>227</v>
      </c>
      <c r="F53" s="28" t="s">
        <v>921</v>
      </c>
      <c r="H53" s="342">
        <f t="shared" ref="H53:Q53" si="18">_xlfn.XLOOKUP(H52,Load_haul_brine_names_CS,Load_haul_brine_rates_CS)</f>
        <v>2.1176658089668612</v>
      </c>
      <c r="I53" s="342">
        <f t="shared" si="18"/>
        <v>2.1176658089668612</v>
      </c>
      <c r="J53" s="342">
        <f t="shared" si="18"/>
        <v>2.1176658089668612</v>
      </c>
      <c r="K53" s="342">
        <f t="shared" si="18"/>
        <v>2.1176658089668612</v>
      </c>
      <c r="L53" s="342">
        <f t="shared" si="18"/>
        <v>2.1176658089668612</v>
      </c>
      <c r="M53" s="342">
        <f t="shared" si="18"/>
        <v>2.1176658089668612</v>
      </c>
      <c r="N53" s="342">
        <f t="shared" si="18"/>
        <v>2.1176658089668612</v>
      </c>
      <c r="O53" s="342">
        <f t="shared" si="18"/>
        <v>2.1176658089668612</v>
      </c>
      <c r="P53" s="342">
        <f t="shared" si="18"/>
        <v>2.1176658089668612</v>
      </c>
      <c r="Q53" s="342">
        <f t="shared" si="18"/>
        <v>2.1176658089668612</v>
      </c>
      <c r="R53" s="397"/>
      <c r="S53" s="427"/>
    </row>
    <row r="54" spans="3:19">
      <c r="C54" s="545"/>
      <c r="D54" s="546"/>
      <c r="E54" s="547" t="s">
        <v>229</v>
      </c>
      <c r="F54" s="28" t="s">
        <v>921</v>
      </c>
      <c r="H54" s="414"/>
      <c r="I54" s="414"/>
      <c r="J54" s="414"/>
      <c r="K54" s="414"/>
      <c r="L54" s="414"/>
      <c r="M54" s="414"/>
      <c r="N54" s="414"/>
      <c r="O54" s="414"/>
      <c r="P54" s="414"/>
      <c r="Q54" s="414"/>
      <c r="R54" s="397"/>
      <c r="S54" s="427"/>
    </row>
    <row r="55" spans="3:19">
      <c r="C55" s="545"/>
      <c r="D55" s="546"/>
      <c r="E55" s="547" t="s">
        <v>922</v>
      </c>
      <c r="F55" s="28" t="s">
        <v>923</v>
      </c>
      <c r="H55" s="556"/>
      <c r="I55" s="556"/>
      <c r="J55" s="556"/>
      <c r="K55" s="556"/>
      <c r="L55" s="556"/>
      <c r="M55" s="556"/>
      <c r="N55" s="556"/>
      <c r="O55" s="556"/>
      <c r="P55" s="556"/>
      <c r="Q55" s="556"/>
      <c r="R55" s="397"/>
      <c r="S55" s="420"/>
    </row>
    <row r="56" spans="3:19">
      <c r="C56" s="548"/>
      <c r="D56" s="543"/>
      <c r="E56" s="547" t="s">
        <v>146</v>
      </c>
      <c r="F56" s="28" t="s">
        <v>207</v>
      </c>
      <c r="H56" s="380">
        <f t="shared" ref="H56:Q56" si="19">IF(H54="",H53,H54)*H53*H55*_xlfn.XLOOKUP(H52,Long_haul_distance_names_L,Long_haul_distances_average_L)</f>
        <v>0</v>
      </c>
      <c r="I56" s="380">
        <f t="shared" si="19"/>
        <v>0</v>
      </c>
      <c r="J56" s="380">
        <f t="shared" si="19"/>
        <v>0</v>
      </c>
      <c r="K56" s="380">
        <f t="shared" si="19"/>
        <v>0</v>
      </c>
      <c r="L56" s="380">
        <f t="shared" si="19"/>
        <v>0</v>
      </c>
      <c r="M56" s="380">
        <f t="shared" si="19"/>
        <v>0</v>
      </c>
      <c r="N56" s="380">
        <f t="shared" si="19"/>
        <v>0</v>
      </c>
      <c r="O56" s="380">
        <f t="shared" si="19"/>
        <v>0</v>
      </c>
      <c r="P56" s="380">
        <f t="shared" si="19"/>
        <v>0</v>
      </c>
      <c r="Q56" s="380">
        <f t="shared" si="19"/>
        <v>0</v>
      </c>
      <c r="R56" s="397"/>
      <c r="S56" s="420"/>
    </row>
    <row r="57" spans="3:19">
      <c r="C57" s="549" t="s">
        <v>926</v>
      </c>
      <c r="D57" s="544" t="s">
        <v>925</v>
      </c>
      <c r="E57" s="547" t="s">
        <v>227</v>
      </c>
      <c r="F57" s="28" t="s">
        <v>927</v>
      </c>
      <c r="H57" s="342">
        <f t="shared" ref="H57:Q57" si="20">Brine_disposal_rate</f>
        <v>324.14653727999996</v>
      </c>
      <c r="I57" s="342">
        <f t="shared" si="20"/>
        <v>324.14653727999996</v>
      </c>
      <c r="J57" s="342">
        <f t="shared" si="20"/>
        <v>324.14653727999996</v>
      </c>
      <c r="K57" s="342">
        <f t="shared" si="20"/>
        <v>324.14653727999996</v>
      </c>
      <c r="L57" s="342">
        <f t="shared" si="20"/>
        <v>324.14653727999996</v>
      </c>
      <c r="M57" s="342">
        <f t="shared" si="20"/>
        <v>324.14653727999996</v>
      </c>
      <c r="N57" s="342">
        <f t="shared" si="20"/>
        <v>324.14653727999996</v>
      </c>
      <c r="O57" s="342">
        <f t="shared" si="20"/>
        <v>324.14653727999996</v>
      </c>
      <c r="P57" s="342">
        <f t="shared" si="20"/>
        <v>324.14653727999996</v>
      </c>
      <c r="Q57" s="342">
        <f t="shared" si="20"/>
        <v>324.14653727999996</v>
      </c>
      <c r="R57" s="397"/>
      <c r="S57" s="427"/>
    </row>
    <row r="58" spans="3:19">
      <c r="C58" s="545"/>
      <c r="D58" s="546"/>
      <c r="E58" s="547" t="s">
        <v>229</v>
      </c>
      <c r="F58" s="28" t="s">
        <v>927</v>
      </c>
      <c r="H58" s="414"/>
      <c r="I58" s="414"/>
      <c r="J58" s="414"/>
      <c r="K58" s="414"/>
      <c r="L58" s="414"/>
      <c r="M58" s="414"/>
      <c r="N58" s="414"/>
      <c r="O58" s="414"/>
      <c r="P58" s="414"/>
      <c r="Q58" s="414"/>
      <c r="R58" s="397"/>
      <c r="S58" s="427"/>
    </row>
    <row r="59" spans="3:19">
      <c r="C59" s="545"/>
      <c r="D59" s="546"/>
      <c r="E59" s="547" t="s">
        <v>928</v>
      </c>
      <c r="F59" s="28" t="s">
        <v>923</v>
      </c>
      <c r="H59" s="556"/>
      <c r="I59" s="556"/>
      <c r="J59" s="556"/>
      <c r="K59" s="556"/>
      <c r="L59" s="556"/>
      <c r="M59" s="556"/>
      <c r="N59" s="556"/>
      <c r="O59" s="556"/>
      <c r="P59" s="556"/>
      <c r="Q59" s="556"/>
      <c r="R59" s="397"/>
      <c r="S59" s="420"/>
    </row>
    <row r="60" spans="3:19">
      <c r="C60" s="548"/>
      <c r="D60" s="543"/>
      <c r="E60" s="547" t="s">
        <v>146</v>
      </c>
      <c r="F60" s="28" t="s">
        <v>207</v>
      </c>
      <c r="H60" s="380">
        <f t="shared" ref="H60:I60" si="21">IF(H58="",H57,H58)*H59</f>
        <v>0</v>
      </c>
      <c r="I60" s="380">
        <f t="shared" si="21"/>
        <v>0</v>
      </c>
      <c r="J60" s="380">
        <f>IF(J58="",J57,J58)*J59</f>
        <v>0</v>
      </c>
      <c r="K60" s="380">
        <f t="shared" ref="K60:Q60" si="22">IF(K58="",K57,K58)*K59</f>
        <v>0</v>
      </c>
      <c r="L60" s="380">
        <f t="shared" si="22"/>
        <v>0</v>
      </c>
      <c r="M60" s="380">
        <f t="shared" si="22"/>
        <v>0</v>
      </c>
      <c r="N60" s="380">
        <f t="shared" si="22"/>
        <v>0</v>
      </c>
      <c r="O60" s="380">
        <f t="shared" si="22"/>
        <v>0</v>
      </c>
      <c r="P60" s="380">
        <f t="shared" si="22"/>
        <v>0</v>
      </c>
      <c r="Q60" s="380">
        <f t="shared" si="22"/>
        <v>0</v>
      </c>
      <c r="R60" s="397"/>
      <c r="S60" s="420"/>
    </row>
    <row r="61" spans="3:19">
      <c r="C61" s="550"/>
      <c r="D61" s="551"/>
      <c r="E61" s="552" t="str">
        <f>C52</f>
        <v>Load, haul and dispose brine</v>
      </c>
      <c r="F61" s="72" t="s">
        <v>207</v>
      </c>
      <c r="G61" s="63"/>
      <c r="H61" s="392">
        <f t="shared" ref="H61:Q61" si="23">H56+H60</f>
        <v>0</v>
      </c>
      <c r="I61" s="392">
        <f t="shared" si="23"/>
        <v>0</v>
      </c>
      <c r="J61" s="392">
        <f t="shared" si="23"/>
        <v>0</v>
      </c>
      <c r="K61" s="392">
        <f t="shared" si="23"/>
        <v>0</v>
      </c>
      <c r="L61" s="392">
        <f t="shared" si="23"/>
        <v>0</v>
      </c>
      <c r="M61" s="392">
        <f t="shared" si="23"/>
        <v>0</v>
      </c>
      <c r="N61" s="392">
        <f t="shared" si="23"/>
        <v>0</v>
      </c>
      <c r="O61" s="392">
        <f t="shared" si="23"/>
        <v>0</v>
      </c>
      <c r="P61" s="392">
        <f t="shared" si="23"/>
        <v>0</v>
      </c>
      <c r="Q61" s="392">
        <f t="shared" si="23"/>
        <v>0</v>
      </c>
      <c r="R61" s="397"/>
      <c r="S61" s="420"/>
    </row>
    <row r="62" spans="3:19" ht="22.5">
      <c r="C62" s="553" t="s">
        <v>929</v>
      </c>
      <c r="D62" s="544" t="s">
        <v>930</v>
      </c>
      <c r="E62" s="337" t="s">
        <v>357</v>
      </c>
      <c r="G62" s="323"/>
      <c r="H62" s="503" t="s">
        <v>931</v>
      </c>
      <c r="I62" s="503" t="s">
        <v>932</v>
      </c>
      <c r="J62" s="503" t="s">
        <v>932</v>
      </c>
      <c r="K62" s="503" t="s">
        <v>932</v>
      </c>
      <c r="L62" s="503" t="s">
        <v>932</v>
      </c>
      <c r="M62" s="503" t="s">
        <v>932</v>
      </c>
      <c r="N62" s="503" t="s">
        <v>932</v>
      </c>
      <c r="O62" s="503" t="s">
        <v>932</v>
      </c>
      <c r="P62" s="503" t="s">
        <v>932</v>
      </c>
      <c r="Q62" s="503" t="s">
        <v>932</v>
      </c>
      <c r="R62" s="397"/>
      <c r="S62" s="329"/>
    </row>
    <row r="63" spans="3:19">
      <c r="C63" s="545"/>
      <c r="D63" s="546"/>
      <c r="E63" s="547" t="s">
        <v>227</v>
      </c>
      <c r="F63" s="28" t="s">
        <v>933</v>
      </c>
      <c r="H63" s="342">
        <f t="shared" ref="H63:Q63" si="24">_xlfn.XLOOKUP(H62,Water_treatment_names_CS,Water_treatment_rates_CS)</f>
        <v>4923.0089355761465</v>
      </c>
      <c r="I63" s="342">
        <f t="shared" si="24"/>
        <v>3546.7689314936579</v>
      </c>
      <c r="J63" s="342">
        <f t="shared" si="24"/>
        <v>3546.7689314936579</v>
      </c>
      <c r="K63" s="342">
        <f t="shared" si="24"/>
        <v>3546.7689314936579</v>
      </c>
      <c r="L63" s="342">
        <f t="shared" si="24"/>
        <v>3546.7689314936579</v>
      </c>
      <c r="M63" s="342">
        <f t="shared" si="24"/>
        <v>3546.7689314936579</v>
      </c>
      <c r="N63" s="342">
        <f t="shared" si="24"/>
        <v>3546.7689314936579</v>
      </c>
      <c r="O63" s="342">
        <f t="shared" si="24"/>
        <v>3546.7689314936579</v>
      </c>
      <c r="P63" s="342">
        <f t="shared" si="24"/>
        <v>3546.7689314936579</v>
      </c>
      <c r="Q63" s="342">
        <f t="shared" si="24"/>
        <v>3546.7689314936579</v>
      </c>
      <c r="R63" s="397"/>
      <c r="S63" s="427"/>
    </row>
    <row r="64" spans="3:19">
      <c r="C64" s="545"/>
      <c r="D64" s="546"/>
      <c r="E64" s="547" t="s">
        <v>229</v>
      </c>
      <c r="F64" s="28" t="s">
        <v>933</v>
      </c>
      <c r="H64" s="414"/>
      <c r="I64" s="414"/>
      <c r="J64" s="414"/>
      <c r="K64" s="414"/>
      <c r="L64" s="414"/>
      <c r="M64" s="414"/>
      <c r="N64" s="414"/>
      <c r="O64" s="414"/>
      <c r="P64" s="414"/>
      <c r="Q64" s="414"/>
      <c r="R64" s="397"/>
      <c r="S64" s="427"/>
    </row>
    <row r="65" spans="2:19">
      <c r="C65" s="545"/>
      <c r="D65" s="546"/>
      <c r="E65" s="547" t="s">
        <v>934</v>
      </c>
      <c r="F65" s="28" t="s">
        <v>935</v>
      </c>
      <c r="H65" s="556"/>
      <c r="I65" s="556"/>
      <c r="J65" s="556"/>
      <c r="K65" s="556"/>
      <c r="L65" s="556"/>
      <c r="M65" s="556"/>
      <c r="N65" s="556"/>
      <c r="O65" s="556"/>
      <c r="P65" s="556"/>
      <c r="Q65" s="556"/>
      <c r="R65" s="397"/>
      <c r="S65" s="420"/>
    </row>
    <row r="66" spans="2:19">
      <c r="C66" s="548"/>
      <c r="D66" s="543"/>
      <c r="E66" s="547" t="s">
        <v>146</v>
      </c>
      <c r="F66" s="28" t="s">
        <v>207</v>
      </c>
      <c r="H66" s="380">
        <f t="shared" ref="H66:Q66" si="25">IF(H64="",H63,H64)*H65</f>
        <v>0</v>
      </c>
      <c r="I66" s="380">
        <f t="shared" si="25"/>
        <v>0</v>
      </c>
      <c r="J66" s="380">
        <f t="shared" si="25"/>
        <v>0</v>
      </c>
      <c r="K66" s="380">
        <f t="shared" si="25"/>
        <v>0</v>
      </c>
      <c r="L66" s="380">
        <f t="shared" si="25"/>
        <v>0</v>
      </c>
      <c r="M66" s="380">
        <f t="shared" si="25"/>
        <v>0</v>
      </c>
      <c r="N66" s="380">
        <f t="shared" si="25"/>
        <v>0</v>
      </c>
      <c r="O66" s="380">
        <f t="shared" si="25"/>
        <v>0</v>
      </c>
      <c r="P66" s="380">
        <f t="shared" si="25"/>
        <v>0</v>
      </c>
      <c r="Q66" s="380">
        <f t="shared" si="25"/>
        <v>0</v>
      </c>
      <c r="R66" s="397"/>
      <c r="S66" s="420"/>
    </row>
    <row r="67" spans="2:19">
      <c r="C67" s="550"/>
      <c r="D67" s="551"/>
      <c r="E67" s="552" t="str">
        <f>C62</f>
        <v>Treat water</v>
      </c>
      <c r="F67" s="72" t="s">
        <v>207</v>
      </c>
      <c r="G67" s="63"/>
      <c r="H67" s="392">
        <f t="shared" ref="H67:Q67" si="26">H66</f>
        <v>0</v>
      </c>
      <c r="I67" s="392">
        <f t="shared" si="26"/>
        <v>0</v>
      </c>
      <c r="J67" s="392">
        <f t="shared" si="26"/>
        <v>0</v>
      </c>
      <c r="K67" s="392">
        <f t="shared" si="26"/>
        <v>0</v>
      </c>
      <c r="L67" s="392">
        <f t="shared" si="26"/>
        <v>0</v>
      </c>
      <c r="M67" s="392">
        <f t="shared" si="26"/>
        <v>0</v>
      </c>
      <c r="N67" s="392">
        <f t="shared" si="26"/>
        <v>0</v>
      </c>
      <c r="O67" s="392">
        <f t="shared" si="26"/>
        <v>0</v>
      </c>
      <c r="P67" s="392">
        <f t="shared" si="26"/>
        <v>0</v>
      </c>
      <c r="Q67" s="392">
        <f t="shared" si="26"/>
        <v>0</v>
      </c>
      <c r="R67" s="397"/>
      <c r="S67" s="420"/>
    </row>
    <row r="68" spans="2:19">
      <c r="C68" s="553" t="s">
        <v>936</v>
      </c>
      <c r="D68" s="544" t="s">
        <v>937</v>
      </c>
      <c r="E68" s="337" t="s">
        <v>355</v>
      </c>
      <c r="F68" s="28" t="s">
        <v>938</v>
      </c>
      <c r="G68" s="323"/>
      <c r="H68" s="559"/>
      <c r="I68" s="559"/>
      <c r="J68" s="559"/>
      <c r="K68" s="559"/>
      <c r="L68" s="559"/>
      <c r="M68" s="559"/>
      <c r="N68" s="559"/>
      <c r="O68" s="559"/>
      <c r="P68" s="559"/>
      <c r="Q68" s="559"/>
      <c r="R68" s="397"/>
      <c r="S68" s="329"/>
    </row>
    <row r="69" spans="2:19">
      <c r="C69" s="545"/>
      <c r="D69" s="546"/>
      <c r="E69" s="547" t="s">
        <v>227</v>
      </c>
      <c r="F69" s="28" t="s">
        <v>933</v>
      </c>
      <c r="H69" s="342">
        <f>'Cost Schedule'!$D$1112</f>
        <v>16251.016470396458</v>
      </c>
      <c r="I69" s="342">
        <f>'Cost Schedule'!$D$1112</f>
        <v>16251.016470396458</v>
      </c>
      <c r="J69" s="342">
        <f>'Cost Schedule'!$D$1112</f>
        <v>16251.016470396458</v>
      </c>
      <c r="K69" s="342">
        <f>'Cost Schedule'!$D$1112</f>
        <v>16251.016470396458</v>
      </c>
      <c r="L69" s="342">
        <f>'Cost Schedule'!$D$1112</f>
        <v>16251.016470396458</v>
      </c>
      <c r="M69" s="342">
        <f>'Cost Schedule'!$D$1112</f>
        <v>16251.016470396458</v>
      </c>
      <c r="N69" s="342">
        <f>'Cost Schedule'!$D$1112</f>
        <v>16251.016470396458</v>
      </c>
      <c r="O69" s="342">
        <f>'Cost Schedule'!$D$1112</f>
        <v>16251.016470396458</v>
      </c>
      <c r="P69" s="342">
        <f>'Cost Schedule'!$D$1112</f>
        <v>16251.016470396458</v>
      </c>
      <c r="Q69" s="342">
        <f>'Cost Schedule'!$D$1112</f>
        <v>16251.016470396458</v>
      </c>
      <c r="R69" s="397"/>
      <c r="S69" s="427"/>
    </row>
    <row r="70" spans="2:19">
      <c r="C70" s="545"/>
      <c r="D70" s="546"/>
      <c r="E70" s="547" t="s">
        <v>229</v>
      </c>
      <c r="F70" s="28" t="s">
        <v>933</v>
      </c>
      <c r="H70" s="414"/>
      <c r="I70" s="414"/>
      <c r="J70" s="414"/>
      <c r="K70" s="414"/>
      <c r="L70" s="414"/>
      <c r="M70" s="414"/>
      <c r="N70" s="414"/>
      <c r="O70" s="414"/>
      <c r="P70" s="414"/>
      <c r="Q70" s="414"/>
      <c r="R70" s="397"/>
      <c r="S70" s="427"/>
    </row>
    <row r="71" spans="2:19">
      <c r="C71" s="548"/>
      <c r="D71" s="543"/>
      <c r="E71" s="547" t="s">
        <v>146</v>
      </c>
      <c r="F71" s="28" t="s">
        <v>207</v>
      </c>
      <c r="H71" s="380">
        <f>IF(AND(H68&gt;0,H68&lt;1),'Cost Schedule'!$D$1113,IF(H70="",H69,H70)*H68)</f>
        <v>0</v>
      </c>
      <c r="I71" s="380">
        <f>IF(AND(I68&gt;0,I68&lt;1),'Cost Schedule'!$D$1113,IF(I70="",I69,I70)*I68)</f>
        <v>0</v>
      </c>
      <c r="J71" s="380">
        <f>IF(AND(J68&gt;0,J68&lt;1),'Cost Schedule'!$D$1113,IF(J70="",J69,J70)*J68)</f>
        <v>0</v>
      </c>
      <c r="K71" s="380">
        <f>IF(AND(K68&gt;0,K68&lt;1),'Cost Schedule'!$D$1113,IF(K70="",K69,K70)*K68)</f>
        <v>0</v>
      </c>
      <c r="L71" s="380">
        <f>IF(AND(L68&gt;0,L68&lt;1),'Cost Schedule'!$D$1113,IF(L70="",L69,L70)*L68)</f>
        <v>0</v>
      </c>
      <c r="M71" s="380">
        <f>IF(AND(M68&gt;0,M68&lt;1),'Cost Schedule'!$D$1113,IF(M70="",M69,M70)*M68)</f>
        <v>0</v>
      </c>
      <c r="N71" s="380">
        <f>IF(AND(N68&gt;0,N68&lt;1),'Cost Schedule'!$D$1113,IF(N70="",N69,N70)*N68)</f>
        <v>0</v>
      </c>
      <c r="O71" s="380">
        <f>IF(AND(O68&gt;0,O68&lt;1),'Cost Schedule'!$D$1113,IF(O70="",O69,O70)*O68)</f>
        <v>0</v>
      </c>
      <c r="P71" s="380">
        <f>IF(AND(P68&gt;0,P68&lt;1),'Cost Schedule'!$D$1113,IF(P70="",P69,P70)*P68)</f>
        <v>0</v>
      </c>
      <c r="Q71" s="380">
        <f>IF(AND(Q68&gt;0,Q68&lt;1),'Cost Schedule'!$D$1113,IF(Q70="",Q69,Q70)*Q68)</f>
        <v>0</v>
      </c>
      <c r="R71" s="397"/>
      <c r="S71" s="420"/>
    </row>
    <row r="72" spans="2:19">
      <c r="C72" s="550"/>
      <c r="D72" s="551"/>
      <c r="E72" s="552" t="str">
        <f>C68</f>
        <v>Decommission water treatment plants</v>
      </c>
      <c r="F72" s="72" t="s">
        <v>207</v>
      </c>
      <c r="G72" s="63"/>
      <c r="H72" s="392">
        <f t="shared" ref="H72" si="27">H71</f>
        <v>0</v>
      </c>
      <c r="I72" s="392">
        <f t="shared" ref="I72:J72" si="28">I71</f>
        <v>0</v>
      </c>
      <c r="J72" s="392">
        <f t="shared" si="28"/>
        <v>0</v>
      </c>
      <c r="K72" s="392">
        <f t="shared" ref="K72:Q72" si="29">K71</f>
        <v>0</v>
      </c>
      <c r="L72" s="392">
        <f t="shared" si="29"/>
        <v>0</v>
      </c>
      <c r="M72" s="392">
        <f t="shared" si="29"/>
        <v>0</v>
      </c>
      <c r="N72" s="392">
        <f t="shared" si="29"/>
        <v>0</v>
      </c>
      <c r="O72" s="392">
        <f t="shared" si="29"/>
        <v>0</v>
      </c>
      <c r="P72" s="392">
        <f t="shared" si="29"/>
        <v>0</v>
      </c>
      <c r="Q72" s="392">
        <f t="shared" si="29"/>
        <v>0</v>
      </c>
      <c r="R72" s="397"/>
      <c r="S72" s="420"/>
    </row>
    <row r="73" spans="2:19">
      <c r="C73" s="553" t="s">
        <v>939</v>
      </c>
      <c r="D73" s="544" t="s">
        <v>940</v>
      </c>
      <c r="E73" s="337" t="s">
        <v>355</v>
      </c>
      <c r="F73" s="28" t="s">
        <v>935</v>
      </c>
      <c r="G73" s="323"/>
      <c r="H73" s="559"/>
      <c r="I73" s="559"/>
      <c r="J73" s="559"/>
      <c r="K73" s="559"/>
      <c r="L73" s="559"/>
      <c r="M73" s="559"/>
      <c r="N73" s="559"/>
      <c r="O73" s="559"/>
      <c r="P73" s="559"/>
      <c r="Q73" s="559"/>
      <c r="R73" s="397"/>
      <c r="S73" s="329"/>
    </row>
    <row r="74" spans="2:19">
      <c r="C74" s="545"/>
      <c r="D74" s="546"/>
      <c r="E74" s="547" t="s">
        <v>227</v>
      </c>
      <c r="F74" s="28" t="s">
        <v>933</v>
      </c>
      <c r="H74" s="342">
        <f>'Cost Schedule'!$D$1111</f>
        <v>876.48609007681807</v>
      </c>
      <c r="I74" s="342">
        <f>'Cost Schedule'!$D$1111</f>
        <v>876.48609007681807</v>
      </c>
      <c r="J74" s="342">
        <f>'Cost Schedule'!$D$1111</f>
        <v>876.48609007681807</v>
      </c>
      <c r="K74" s="342">
        <f>'Cost Schedule'!$D$1111</f>
        <v>876.48609007681807</v>
      </c>
      <c r="L74" s="342">
        <f>'Cost Schedule'!$D$1111</f>
        <v>876.48609007681807</v>
      </c>
      <c r="M74" s="342">
        <f>'Cost Schedule'!$D$1111</f>
        <v>876.48609007681807</v>
      </c>
      <c r="N74" s="342">
        <f>'Cost Schedule'!$D$1111</f>
        <v>876.48609007681807</v>
      </c>
      <c r="O74" s="342">
        <f>'Cost Schedule'!$D$1111</f>
        <v>876.48609007681807</v>
      </c>
      <c r="P74" s="342">
        <f>'Cost Schedule'!$D$1111</f>
        <v>876.48609007681807</v>
      </c>
      <c r="Q74" s="342">
        <f>'Cost Schedule'!$D$1111</f>
        <v>876.48609007681807</v>
      </c>
      <c r="R74" s="397"/>
      <c r="S74" s="427"/>
    </row>
    <row r="75" spans="2:19">
      <c r="C75" s="545"/>
      <c r="D75" s="546"/>
      <c r="E75" s="547" t="s">
        <v>229</v>
      </c>
      <c r="F75" s="28" t="s">
        <v>933</v>
      </c>
      <c r="H75" s="414"/>
      <c r="I75" s="414"/>
      <c r="J75" s="414"/>
      <c r="K75" s="414"/>
      <c r="L75" s="414"/>
      <c r="M75" s="414"/>
      <c r="N75" s="414"/>
      <c r="O75" s="414"/>
      <c r="P75" s="414"/>
      <c r="Q75" s="414"/>
      <c r="R75" s="397"/>
      <c r="S75" s="427"/>
    </row>
    <row r="76" spans="2:19">
      <c r="C76" s="548"/>
      <c r="D76" s="543"/>
      <c r="E76" s="547" t="s">
        <v>146</v>
      </c>
      <c r="F76" s="28" t="s">
        <v>207</v>
      </c>
      <c r="H76" s="380">
        <f>IF(AND(H73&gt;0,H73&lt;1),'Cost Schedule'!$D$1113,IF(H75="",H74,H75)*H73)</f>
        <v>0</v>
      </c>
      <c r="I76" s="380">
        <f>IF(AND(I73&gt;0,I73&lt;1),'Cost Schedule'!$D$1113,IF(I75="",I74,I75)*I73)</f>
        <v>0</v>
      </c>
      <c r="J76" s="380">
        <f>IF(AND(J73&gt;0,J73&lt;1),'Cost Schedule'!$D$1113,IF(J75="",J74,J75)*J73)</f>
        <v>0</v>
      </c>
      <c r="K76" s="380">
        <f>IF(AND(K73&gt;0,K73&lt;1),'Cost Schedule'!$D$1113,IF(K75="",K74,K75)*K73)</f>
        <v>0</v>
      </c>
      <c r="L76" s="380">
        <f>IF(AND(L73&gt;0,L73&lt;1),'Cost Schedule'!$D$1113,IF(L75="",L74,L75)*L73)</f>
        <v>0</v>
      </c>
      <c r="M76" s="380">
        <f>IF(AND(M73&gt;0,M73&lt;1),'Cost Schedule'!$D$1113,IF(M75="",M74,M75)*M73)</f>
        <v>0</v>
      </c>
      <c r="N76" s="380">
        <f>IF(AND(N73&gt;0,N73&lt;1),'Cost Schedule'!$D$1113,IF(N75="",N74,N75)*N73)</f>
        <v>0</v>
      </c>
      <c r="O76" s="380">
        <f>IF(AND(O73&gt;0,O73&lt;1),'Cost Schedule'!$D$1113,IF(O75="",O74,O75)*O73)</f>
        <v>0</v>
      </c>
      <c r="P76" s="380">
        <f>IF(AND(P73&gt;0,P73&lt;1),'Cost Schedule'!$D$1113,IF(P75="",P74,P75)*P73)</f>
        <v>0</v>
      </c>
      <c r="Q76" s="380">
        <f>IF(AND(Q73&gt;0,Q73&lt;1),'Cost Schedule'!$D$1113,IF(Q75="",Q74,Q75)*Q73)</f>
        <v>0</v>
      </c>
      <c r="R76" s="397"/>
      <c r="S76" s="420"/>
    </row>
    <row r="77" spans="2:19">
      <c r="C77" s="550"/>
      <c r="D77" s="551"/>
      <c r="E77" s="552" t="str">
        <f>C73</f>
        <v>Pump / transfer water</v>
      </c>
      <c r="F77" s="72" t="s">
        <v>207</v>
      </c>
      <c r="G77" s="63"/>
      <c r="H77" s="392">
        <f t="shared" ref="H77:Q77" si="30">H76</f>
        <v>0</v>
      </c>
      <c r="I77" s="392">
        <f t="shared" si="30"/>
        <v>0</v>
      </c>
      <c r="J77" s="392">
        <f t="shared" si="30"/>
        <v>0</v>
      </c>
      <c r="K77" s="392">
        <f t="shared" si="30"/>
        <v>0</v>
      </c>
      <c r="L77" s="392">
        <f t="shared" si="30"/>
        <v>0</v>
      </c>
      <c r="M77" s="392">
        <f t="shared" si="30"/>
        <v>0</v>
      </c>
      <c r="N77" s="392">
        <f t="shared" si="30"/>
        <v>0</v>
      </c>
      <c r="O77" s="392">
        <f t="shared" si="30"/>
        <v>0</v>
      </c>
      <c r="P77" s="392">
        <f t="shared" si="30"/>
        <v>0</v>
      </c>
      <c r="Q77" s="392">
        <f t="shared" si="30"/>
        <v>0</v>
      </c>
      <c r="R77" s="397"/>
      <c r="S77" s="420"/>
    </row>
    <row r="79" spans="2:19">
      <c r="B79" s="469"/>
      <c r="C79" s="499" t="s">
        <v>601</v>
      </c>
    </row>
    <row r="80" spans="2:19" hidden="1">
      <c r="B80" s="94" t="s">
        <v>533</v>
      </c>
      <c r="C80" s="131" t="s">
        <v>858</v>
      </c>
    </row>
    <row r="81" spans="2:19" hidden="1">
      <c r="B81" s="94" t="s">
        <v>533</v>
      </c>
      <c r="C81" s="131" t="s">
        <v>941</v>
      </c>
      <c r="G81" s="28"/>
      <c r="H81" s="28"/>
      <c r="I81" s="28"/>
      <c r="J81" s="28"/>
      <c r="K81" s="28"/>
      <c r="L81" s="28"/>
      <c r="M81" s="28"/>
      <c r="N81" s="28"/>
      <c r="O81" s="28"/>
      <c r="P81" s="28"/>
      <c r="Q81" s="28"/>
    </row>
    <row r="82" spans="2:19" ht="12" hidden="1" thickBot="1">
      <c r="B82" s="94" t="s">
        <v>533</v>
      </c>
      <c r="C82" s="202" t="s">
        <v>185</v>
      </c>
      <c r="D82" s="114" t="s">
        <v>186</v>
      </c>
      <c r="E82" s="115" t="s">
        <v>187</v>
      </c>
      <c r="F82" s="116" t="s">
        <v>592</v>
      </c>
      <c r="G82" s="143" t="s">
        <v>890</v>
      </c>
      <c r="H82" s="501" t="s">
        <v>696</v>
      </c>
      <c r="I82" s="501" t="s">
        <v>696</v>
      </c>
      <c r="J82" s="501" t="s">
        <v>696</v>
      </c>
      <c r="K82" s="501" t="s">
        <v>696</v>
      </c>
      <c r="L82" s="501" t="s">
        <v>696</v>
      </c>
      <c r="M82" s="501" t="s">
        <v>696</v>
      </c>
      <c r="N82" s="501" t="s">
        <v>696</v>
      </c>
      <c r="O82" s="501" t="s">
        <v>696</v>
      </c>
      <c r="P82" s="501" t="s">
        <v>696</v>
      </c>
      <c r="Q82" s="501" t="s">
        <v>696</v>
      </c>
      <c r="R82" s="144" t="s">
        <v>190</v>
      </c>
      <c r="S82" s="43" t="s">
        <v>191</v>
      </c>
    </row>
    <row r="83" spans="2:19" ht="45" hidden="1">
      <c r="B83" s="94" t="s">
        <v>533</v>
      </c>
      <c r="C83" s="149" t="s">
        <v>124</v>
      </c>
      <c r="D83" s="508"/>
      <c r="E83" s="504"/>
      <c r="G83" s="42" t="s">
        <v>123</v>
      </c>
      <c r="H83" s="504"/>
      <c r="I83" s="504"/>
      <c r="J83" s="504"/>
      <c r="K83" s="504"/>
      <c r="L83" s="504"/>
      <c r="M83" s="504"/>
      <c r="N83" s="504"/>
      <c r="O83" s="504"/>
      <c r="P83" s="504"/>
      <c r="Q83" s="504"/>
      <c r="R83" s="397"/>
      <c r="S83" s="44" t="s">
        <v>195</v>
      </c>
    </row>
    <row r="84" spans="2:19" hidden="1">
      <c r="B84" s="94" t="s">
        <v>533</v>
      </c>
      <c r="C84" s="159" t="s">
        <v>942</v>
      </c>
      <c r="D84" s="86" t="s">
        <v>943</v>
      </c>
      <c r="E84" s="27" t="s">
        <v>944</v>
      </c>
      <c r="F84" s="28" t="s">
        <v>123</v>
      </c>
      <c r="G84" s="42" t="s">
        <v>123</v>
      </c>
      <c r="H84" s="503" t="s">
        <v>945</v>
      </c>
      <c r="I84" s="503" t="s">
        <v>945</v>
      </c>
      <c r="J84" s="503" t="s">
        <v>945</v>
      </c>
      <c r="K84" s="503" t="s">
        <v>945</v>
      </c>
      <c r="L84" s="503" t="s">
        <v>945</v>
      </c>
      <c r="M84" s="503" t="s">
        <v>945</v>
      </c>
      <c r="N84" s="503" t="s">
        <v>945</v>
      </c>
      <c r="O84" s="503" t="s">
        <v>945</v>
      </c>
      <c r="P84" s="503" t="s">
        <v>945</v>
      </c>
      <c r="Q84" s="503" t="s">
        <v>945</v>
      </c>
      <c r="R84" s="397"/>
      <c r="S84" s="49"/>
    </row>
    <row r="85" spans="2:19" hidden="1">
      <c r="B85" s="94" t="s">
        <v>533</v>
      </c>
      <c r="C85" s="52"/>
      <c r="D85" s="87"/>
      <c r="E85" s="27" t="s">
        <v>946</v>
      </c>
      <c r="F85" s="28" t="s">
        <v>123</v>
      </c>
      <c r="G85" s="42" t="s">
        <v>123</v>
      </c>
      <c r="H85" s="503" t="s">
        <v>947</v>
      </c>
      <c r="I85" s="503" t="s">
        <v>947</v>
      </c>
      <c r="J85" s="503" t="s">
        <v>947</v>
      </c>
      <c r="K85" s="503" t="s">
        <v>947</v>
      </c>
      <c r="L85" s="503" t="s">
        <v>947</v>
      </c>
      <c r="M85" s="503" t="s">
        <v>947</v>
      </c>
      <c r="N85" s="503" t="s">
        <v>947</v>
      </c>
      <c r="O85" s="503" t="s">
        <v>947</v>
      </c>
      <c r="P85" s="503" t="s">
        <v>947</v>
      </c>
      <c r="Q85" s="503" t="s">
        <v>947</v>
      </c>
      <c r="R85" s="397"/>
      <c r="S85" s="49"/>
    </row>
    <row r="86" spans="2:19" hidden="1">
      <c r="B86" s="94" t="s">
        <v>533</v>
      </c>
      <c r="C86" s="52"/>
      <c r="D86" s="87"/>
      <c r="E86" s="48" t="s">
        <v>948</v>
      </c>
      <c r="F86" s="28" t="s">
        <v>935</v>
      </c>
      <c r="G86" s="145"/>
      <c r="H86" s="560"/>
      <c r="I86" s="560"/>
      <c r="J86" s="560"/>
      <c r="K86" s="560"/>
      <c r="L86" s="560"/>
      <c r="M86" s="560"/>
      <c r="N86" s="560"/>
      <c r="O86" s="560"/>
      <c r="P86" s="560"/>
      <c r="Q86" s="560"/>
      <c r="R86" s="397"/>
      <c r="S86" s="49"/>
    </row>
    <row r="87" spans="2:19" hidden="1">
      <c r="B87" s="94" t="s">
        <v>533</v>
      </c>
      <c r="C87" s="56"/>
      <c r="D87" s="87"/>
      <c r="E87" s="48"/>
      <c r="F87" s="28" t="s">
        <v>219</v>
      </c>
      <c r="G87" s="145"/>
      <c r="H87" s="58">
        <f>H86*1000</f>
        <v>0</v>
      </c>
      <c r="I87" s="58">
        <f>I86*1000</f>
        <v>0</v>
      </c>
      <c r="J87" s="58">
        <f t="shared" ref="J87:Q87" si="31">J86*1000</f>
        <v>0</v>
      </c>
      <c r="K87" s="58">
        <f t="shared" si="31"/>
        <v>0</v>
      </c>
      <c r="L87" s="58">
        <f t="shared" si="31"/>
        <v>0</v>
      </c>
      <c r="M87" s="58">
        <f t="shared" si="31"/>
        <v>0</v>
      </c>
      <c r="N87" s="58">
        <f t="shared" si="31"/>
        <v>0</v>
      </c>
      <c r="O87" s="58">
        <f t="shared" si="31"/>
        <v>0</v>
      </c>
      <c r="P87" s="58">
        <f t="shared" si="31"/>
        <v>0</v>
      </c>
      <c r="Q87" s="58">
        <f t="shared" si="31"/>
        <v>0</v>
      </c>
      <c r="R87" s="397"/>
      <c r="S87" s="49"/>
    </row>
    <row r="88" spans="2:19" hidden="1">
      <c r="B88" s="94" t="s">
        <v>533</v>
      </c>
      <c r="C88" s="50" t="s">
        <v>949</v>
      </c>
      <c r="D88" s="86" t="s">
        <v>950</v>
      </c>
      <c r="E88" s="48" t="s">
        <v>951</v>
      </c>
      <c r="G88" s="145"/>
      <c r="H88" s="561"/>
      <c r="I88" s="561"/>
      <c r="J88" s="561"/>
      <c r="K88" s="561"/>
      <c r="L88" s="561"/>
      <c r="M88" s="561"/>
      <c r="N88" s="561"/>
      <c r="O88" s="561"/>
      <c r="P88" s="561"/>
      <c r="Q88" s="561"/>
      <c r="R88" s="397"/>
      <c r="S88" s="49"/>
    </row>
    <row r="89" spans="2:19" hidden="1">
      <c r="B89" s="94" t="s">
        <v>533</v>
      </c>
      <c r="C89" s="52"/>
      <c r="D89" s="87"/>
      <c r="E89" s="48" t="s">
        <v>952</v>
      </c>
      <c r="F89" s="28" t="s">
        <v>211</v>
      </c>
      <c r="G89" s="145"/>
      <c r="H89" s="561"/>
      <c r="I89" s="561"/>
      <c r="J89" s="561"/>
      <c r="K89" s="561"/>
      <c r="L89" s="561"/>
      <c r="M89" s="561"/>
      <c r="N89" s="561"/>
      <c r="O89" s="561"/>
      <c r="P89" s="561"/>
      <c r="Q89" s="561"/>
      <c r="R89" s="397"/>
      <c r="S89" s="49"/>
    </row>
    <row r="90" spans="2:19" hidden="1">
      <c r="B90" s="94" t="s">
        <v>533</v>
      </c>
      <c r="C90" s="52"/>
      <c r="D90" s="87"/>
      <c r="E90" s="48" t="s">
        <v>953</v>
      </c>
      <c r="F90" s="28" t="s">
        <v>211</v>
      </c>
      <c r="G90" s="145"/>
      <c r="H90" s="561"/>
      <c r="I90" s="561"/>
      <c r="J90" s="561"/>
      <c r="K90" s="561"/>
      <c r="L90" s="561"/>
      <c r="M90" s="561"/>
      <c r="N90" s="561"/>
      <c r="O90" s="561"/>
      <c r="P90" s="561"/>
      <c r="Q90" s="561"/>
      <c r="R90" s="397"/>
      <c r="S90" s="49"/>
    </row>
    <row r="91" spans="2:19" hidden="1">
      <c r="B91" s="94" t="s">
        <v>533</v>
      </c>
      <c r="C91" s="52"/>
      <c r="D91" s="87"/>
      <c r="E91" s="48" t="s">
        <v>954</v>
      </c>
      <c r="F91" s="28" t="s">
        <v>211</v>
      </c>
      <c r="G91" s="145"/>
      <c r="H91" s="70">
        <f>H88*H89</f>
        <v>0</v>
      </c>
      <c r="I91" s="70">
        <f>I88*I89</f>
        <v>0</v>
      </c>
      <c r="J91" s="70">
        <f t="shared" ref="J91:Q91" si="32">J88*J89</f>
        <v>0</v>
      </c>
      <c r="K91" s="70">
        <f t="shared" si="32"/>
        <v>0</v>
      </c>
      <c r="L91" s="70">
        <f t="shared" si="32"/>
        <v>0</v>
      </c>
      <c r="M91" s="70">
        <f t="shared" si="32"/>
        <v>0</v>
      </c>
      <c r="N91" s="70">
        <f t="shared" si="32"/>
        <v>0</v>
      </c>
      <c r="O91" s="70">
        <f t="shared" si="32"/>
        <v>0</v>
      </c>
      <c r="P91" s="70">
        <f t="shared" si="32"/>
        <v>0</v>
      </c>
      <c r="Q91" s="70">
        <f t="shared" si="32"/>
        <v>0</v>
      </c>
      <c r="R91" s="397"/>
      <c r="S91" s="49"/>
    </row>
    <row r="92" spans="2:19" hidden="1">
      <c r="B92" s="94" t="s">
        <v>533</v>
      </c>
      <c r="C92" s="52"/>
      <c r="D92" s="87"/>
      <c r="E92" s="48" t="s">
        <v>955</v>
      </c>
      <c r="F92" s="28" t="s">
        <v>211</v>
      </c>
      <c r="G92" s="145"/>
      <c r="H92" s="70">
        <f>H91*2+H90</f>
        <v>0</v>
      </c>
      <c r="I92" s="70">
        <f>I91*2+I90</f>
        <v>0</v>
      </c>
      <c r="J92" s="70">
        <f t="shared" ref="J92:Q92" si="33">J91*2+J90</f>
        <v>0</v>
      </c>
      <c r="K92" s="70">
        <f t="shared" si="33"/>
        <v>0</v>
      </c>
      <c r="L92" s="70">
        <f t="shared" si="33"/>
        <v>0</v>
      </c>
      <c r="M92" s="70">
        <f t="shared" si="33"/>
        <v>0</v>
      </c>
      <c r="N92" s="70">
        <f t="shared" si="33"/>
        <v>0</v>
      </c>
      <c r="O92" s="70">
        <f t="shared" si="33"/>
        <v>0</v>
      </c>
      <c r="P92" s="70">
        <f t="shared" si="33"/>
        <v>0</v>
      </c>
      <c r="Q92" s="70">
        <f t="shared" si="33"/>
        <v>0</v>
      </c>
      <c r="R92" s="397"/>
      <c r="S92" s="49"/>
    </row>
    <row r="93" spans="2:19" hidden="1">
      <c r="B93" s="94" t="s">
        <v>533</v>
      </c>
      <c r="C93" s="56"/>
      <c r="D93" s="87"/>
      <c r="E93" s="48" t="s">
        <v>956</v>
      </c>
      <c r="F93" s="28" t="s">
        <v>215</v>
      </c>
      <c r="G93" s="145"/>
      <c r="H93" s="70">
        <f>H89*H90+2*0.5*H91*H89</f>
        <v>0</v>
      </c>
      <c r="I93" s="70">
        <f>I89*I90+2*0.5*I91*I89</f>
        <v>0</v>
      </c>
      <c r="J93" s="70">
        <f t="shared" ref="J93:Q93" si="34">J89*J90+2*0.5*J91*J89</f>
        <v>0</v>
      </c>
      <c r="K93" s="70">
        <f t="shared" si="34"/>
        <v>0</v>
      </c>
      <c r="L93" s="70">
        <f t="shared" si="34"/>
        <v>0</v>
      </c>
      <c r="M93" s="70">
        <f t="shared" si="34"/>
        <v>0</v>
      </c>
      <c r="N93" s="70">
        <f t="shared" si="34"/>
        <v>0</v>
      </c>
      <c r="O93" s="70">
        <f t="shared" si="34"/>
        <v>0</v>
      </c>
      <c r="P93" s="70">
        <f t="shared" si="34"/>
        <v>0</v>
      </c>
      <c r="Q93" s="70">
        <f t="shared" si="34"/>
        <v>0</v>
      </c>
      <c r="R93" s="397"/>
      <c r="S93" s="49"/>
    </row>
    <row r="94" spans="2:19" hidden="1">
      <c r="B94" s="94" t="s">
        <v>533</v>
      </c>
      <c r="C94" s="50" t="s">
        <v>957</v>
      </c>
      <c r="D94" s="86" t="s">
        <v>943</v>
      </c>
      <c r="E94" s="48" t="s">
        <v>958</v>
      </c>
      <c r="F94" s="28" t="s">
        <v>211</v>
      </c>
      <c r="G94" s="145"/>
      <c r="H94" s="561"/>
      <c r="I94" s="561"/>
      <c r="J94" s="561"/>
      <c r="K94" s="561"/>
      <c r="L94" s="561"/>
      <c r="M94" s="561"/>
      <c r="N94" s="561"/>
      <c r="O94" s="561"/>
      <c r="P94" s="561"/>
      <c r="Q94" s="561"/>
      <c r="R94" s="397"/>
      <c r="S94" s="49"/>
    </row>
    <row r="95" spans="2:19" hidden="1">
      <c r="B95" s="94" t="s">
        <v>533</v>
      </c>
      <c r="C95" s="52"/>
      <c r="D95" s="87"/>
      <c r="E95" s="48" t="s">
        <v>959</v>
      </c>
      <c r="F95" s="28" t="s">
        <v>211</v>
      </c>
      <c r="G95" s="145"/>
      <c r="H95" s="561"/>
      <c r="I95" s="561"/>
      <c r="J95" s="561"/>
      <c r="K95" s="561"/>
      <c r="L95" s="561"/>
      <c r="M95" s="561"/>
      <c r="N95" s="561"/>
      <c r="O95" s="561"/>
      <c r="P95" s="561"/>
      <c r="Q95" s="561"/>
      <c r="R95" s="397"/>
      <c r="S95" s="49"/>
    </row>
    <row r="96" spans="2:19" hidden="1">
      <c r="B96" s="94" t="s">
        <v>533</v>
      </c>
      <c r="C96" s="52"/>
      <c r="D96" s="87"/>
      <c r="E96" s="48" t="s">
        <v>960</v>
      </c>
      <c r="F96" s="28" t="s">
        <v>215</v>
      </c>
      <c r="G96" s="145"/>
      <c r="H96" s="58">
        <f>H95*H95</f>
        <v>0</v>
      </c>
      <c r="I96" s="58">
        <f>I95*I95</f>
        <v>0</v>
      </c>
      <c r="J96" s="58">
        <f t="shared" ref="J96:Q96" si="35">J95*J95</f>
        <v>0</v>
      </c>
      <c r="K96" s="58">
        <f t="shared" si="35"/>
        <v>0</v>
      </c>
      <c r="L96" s="58">
        <f t="shared" si="35"/>
        <v>0</v>
      </c>
      <c r="M96" s="58">
        <f t="shared" si="35"/>
        <v>0</v>
      </c>
      <c r="N96" s="58">
        <f t="shared" si="35"/>
        <v>0</v>
      </c>
      <c r="O96" s="58">
        <f t="shared" si="35"/>
        <v>0</v>
      </c>
      <c r="P96" s="58">
        <f t="shared" si="35"/>
        <v>0</v>
      </c>
      <c r="Q96" s="58">
        <f t="shared" si="35"/>
        <v>0</v>
      </c>
      <c r="R96" s="397"/>
      <c r="S96" s="49"/>
    </row>
    <row r="97" spans="2:19" hidden="1">
      <c r="B97" s="94" t="s">
        <v>533</v>
      </c>
      <c r="C97" s="52"/>
      <c r="D97" s="87"/>
      <c r="E97" s="48" t="s">
        <v>961</v>
      </c>
      <c r="F97" s="28" t="s">
        <v>211</v>
      </c>
      <c r="G97" s="145"/>
      <c r="H97" s="70">
        <f>H88*H94</f>
        <v>0</v>
      </c>
      <c r="I97" s="70">
        <f>I88*I94</f>
        <v>0</v>
      </c>
      <c r="J97" s="70">
        <f t="shared" ref="J97:Q97" si="36">J88*J94</f>
        <v>0</v>
      </c>
      <c r="K97" s="70">
        <f t="shared" si="36"/>
        <v>0</v>
      </c>
      <c r="L97" s="70">
        <f t="shared" si="36"/>
        <v>0</v>
      </c>
      <c r="M97" s="70">
        <f t="shared" si="36"/>
        <v>0</v>
      </c>
      <c r="N97" s="70">
        <f t="shared" si="36"/>
        <v>0</v>
      </c>
      <c r="O97" s="70">
        <f t="shared" si="36"/>
        <v>0</v>
      </c>
      <c r="P97" s="70">
        <f t="shared" si="36"/>
        <v>0</v>
      </c>
      <c r="Q97" s="70">
        <f t="shared" si="36"/>
        <v>0</v>
      </c>
      <c r="R97" s="397"/>
      <c r="S97" s="49"/>
    </row>
    <row r="98" spans="2:19" hidden="1">
      <c r="B98" s="94" t="s">
        <v>533</v>
      </c>
      <c r="C98" s="52"/>
      <c r="D98" s="87"/>
      <c r="E98" s="48" t="s">
        <v>962</v>
      </c>
      <c r="F98" s="28" t="s">
        <v>211</v>
      </c>
      <c r="G98" s="145"/>
      <c r="H98" s="105">
        <f>H95+2*H97</f>
        <v>0</v>
      </c>
      <c r="I98" s="105">
        <f>I95+2*I97</f>
        <v>0</v>
      </c>
      <c r="J98" s="105">
        <f t="shared" ref="J98:Q98" si="37">J95+2*J97</f>
        <v>0</v>
      </c>
      <c r="K98" s="105">
        <f t="shared" si="37"/>
        <v>0</v>
      </c>
      <c r="L98" s="105">
        <f t="shared" si="37"/>
        <v>0</v>
      </c>
      <c r="M98" s="105">
        <f t="shared" si="37"/>
        <v>0</v>
      </c>
      <c r="N98" s="105">
        <f t="shared" si="37"/>
        <v>0</v>
      </c>
      <c r="O98" s="105">
        <f t="shared" si="37"/>
        <v>0</v>
      </c>
      <c r="P98" s="105">
        <f t="shared" si="37"/>
        <v>0</v>
      </c>
      <c r="Q98" s="105">
        <f t="shared" si="37"/>
        <v>0</v>
      </c>
      <c r="R98" s="397"/>
      <c r="S98" s="49"/>
    </row>
    <row r="99" spans="2:19" hidden="1">
      <c r="B99" s="94" t="s">
        <v>533</v>
      </c>
      <c r="C99" s="52"/>
      <c r="D99" s="87"/>
      <c r="E99" s="48" t="s">
        <v>963</v>
      </c>
      <c r="F99" s="28" t="s">
        <v>211</v>
      </c>
      <c r="G99" s="145"/>
      <c r="H99" s="141">
        <f>H98*4</f>
        <v>0</v>
      </c>
      <c r="I99" s="141">
        <f>I98*4</f>
        <v>0</v>
      </c>
      <c r="J99" s="141">
        <f t="shared" ref="J99:Q99" si="38">J98*4</f>
        <v>0</v>
      </c>
      <c r="K99" s="141">
        <f t="shared" si="38"/>
        <v>0</v>
      </c>
      <c r="L99" s="141">
        <f t="shared" si="38"/>
        <v>0</v>
      </c>
      <c r="M99" s="141">
        <f t="shared" si="38"/>
        <v>0</v>
      </c>
      <c r="N99" s="141">
        <f t="shared" si="38"/>
        <v>0</v>
      </c>
      <c r="O99" s="141">
        <f t="shared" si="38"/>
        <v>0</v>
      </c>
      <c r="P99" s="141">
        <f t="shared" si="38"/>
        <v>0</v>
      </c>
      <c r="Q99" s="141">
        <f t="shared" si="38"/>
        <v>0</v>
      </c>
      <c r="R99" s="397"/>
      <c r="S99" s="49"/>
    </row>
    <row r="100" spans="2:19" hidden="1">
      <c r="B100" s="94" t="s">
        <v>533</v>
      </c>
      <c r="C100" s="52"/>
      <c r="D100" s="87"/>
      <c r="E100" s="48" t="s">
        <v>964</v>
      </c>
      <c r="F100" s="28" t="s">
        <v>215</v>
      </c>
      <c r="G100" s="145"/>
      <c r="H100" s="141">
        <f>H98*H98</f>
        <v>0</v>
      </c>
      <c r="I100" s="141">
        <f>I98*I98</f>
        <v>0</v>
      </c>
      <c r="J100" s="141">
        <f t="shared" ref="J100:Q100" si="39">J98*J98</f>
        <v>0</v>
      </c>
      <c r="K100" s="141">
        <f t="shared" si="39"/>
        <v>0</v>
      </c>
      <c r="L100" s="141">
        <f t="shared" si="39"/>
        <v>0</v>
      </c>
      <c r="M100" s="141">
        <f t="shared" si="39"/>
        <v>0</v>
      </c>
      <c r="N100" s="141">
        <f t="shared" si="39"/>
        <v>0</v>
      </c>
      <c r="O100" s="141">
        <f t="shared" si="39"/>
        <v>0</v>
      </c>
      <c r="P100" s="141">
        <f t="shared" si="39"/>
        <v>0</v>
      </c>
      <c r="Q100" s="141">
        <f t="shared" si="39"/>
        <v>0</v>
      </c>
      <c r="R100" s="397"/>
      <c r="S100" s="49"/>
    </row>
    <row r="101" spans="2:19" hidden="1">
      <c r="B101" s="94" t="s">
        <v>533</v>
      </c>
      <c r="C101" s="52"/>
      <c r="D101" s="87"/>
      <c r="E101" s="48" t="s">
        <v>964</v>
      </c>
      <c r="F101" s="28" t="s">
        <v>299</v>
      </c>
      <c r="G101" s="145"/>
      <c r="H101" s="70">
        <f t="shared" ref="H101:Q101" si="40">H100/Conv_sqm_ha</f>
        <v>0</v>
      </c>
      <c r="I101" s="70">
        <f t="shared" si="40"/>
        <v>0</v>
      </c>
      <c r="J101" s="70">
        <f t="shared" si="40"/>
        <v>0</v>
      </c>
      <c r="K101" s="70">
        <f t="shared" si="40"/>
        <v>0</v>
      </c>
      <c r="L101" s="70">
        <f t="shared" si="40"/>
        <v>0</v>
      </c>
      <c r="M101" s="70">
        <f t="shared" si="40"/>
        <v>0</v>
      </c>
      <c r="N101" s="70">
        <f t="shared" si="40"/>
        <v>0</v>
      </c>
      <c r="O101" s="70">
        <f t="shared" si="40"/>
        <v>0</v>
      </c>
      <c r="P101" s="70">
        <f t="shared" si="40"/>
        <v>0</v>
      </c>
      <c r="Q101" s="70">
        <f t="shared" si="40"/>
        <v>0</v>
      </c>
      <c r="R101" s="397"/>
      <c r="S101" s="49"/>
    </row>
    <row r="102" spans="2:19" hidden="1">
      <c r="B102" s="94" t="s">
        <v>533</v>
      </c>
      <c r="C102" s="56"/>
      <c r="D102" s="84"/>
      <c r="E102" s="48" t="s">
        <v>965</v>
      </c>
      <c r="F102" s="28" t="s">
        <v>219</v>
      </c>
      <c r="G102" s="145"/>
      <c r="H102" s="141">
        <f>1/3*H94*(H95^2+H98^2+H95*H98)</f>
        <v>0</v>
      </c>
      <c r="I102" s="141">
        <f>1/3*I94*(I95^2+I98^2+I95*I98)</f>
        <v>0</v>
      </c>
      <c r="J102" s="141">
        <f t="shared" ref="J102:Q102" si="41">1/3*J94*(J95^2+J98^2+J95*J98)</f>
        <v>0</v>
      </c>
      <c r="K102" s="141">
        <f t="shared" si="41"/>
        <v>0</v>
      </c>
      <c r="L102" s="141">
        <f t="shared" si="41"/>
        <v>0</v>
      </c>
      <c r="M102" s="141">
        <f t="shared" si="41"/>
        <v>0</v>
      </c>
      <c r="N102" s="141">
        <f t="shared" si="41"/>
        <v>0</v>
      </c>
      <c r="O102" s="141">
        <f t="shared" si="41"/>
        <v>0</v>
      </c>
      <c r="P102" s="141">
        <f t="shared" si="41"/>
        <v>0</v>
      </c>
      <c r="Q102" s="141">
        <f t="shared" si="41"/>
        <v>0</v>
      </c>
      <c r="R102" s="397"/>
      <c r="S102" s="49"/>
    </row>
    <row r="103" spans="2:19" ht="26.45" hidden="1" customHeight="1" thickTop="1" thickBot="1">
      <c r="B103" s="94" t="s">
        <v>533</v>
      </c>
      <c r="C103" s="149" t="s">
        <v>966</v>
      </c>
      <c r="D103" s="121" t="s">
        <v>967</v>
      </c>
      <c r="E103" s="48" t="s">
        <v>968</v>
      </c>
      <c r="G103" s="145"/>
      <c r="H103" s="146" t="str">
        <f>IF(H87=0,"No volume entered.",IF(ABS((H87-H102)/H87)&gt;'Assumptions - General'!$C$47,"Out by more than threshold","ok"))</f>
        <v>No volume entered.</v>
      </c>
      <c r="I103" s="146" t="str">
        <f>IF(I87=0,"No volume entered.",IF(ABS((I87-I102)/I87)&gt;'Assumptions - General'!$C$47,"Out by more than threshold","ok"))</f>
        <v>No volume entered.</v>
      </c>
      <c r="J103" s="146" t="str">
        <f>IF(J87=0,"No volume entered.",IF(ABS((J87-J102)/J87)&gt;'Assumptions - General'!$C$47,"Out by more than threshold","ok"))</f>
        <v>No volume entered.</v>
      </c>
      <c r="K103" s="146" t="str">
        <f>IF(K87=0,"No volume entered.",IF(ABS((K87-K102)/K87)&gt;'Assumptions - General'!$C$47,"Out by more than threshold","ok"))</f>
        <v>No volume entered.</v>
      </c>
      <c r="L103" s="146" t="str">
        <f>IF(L87=0,"No volume entered.",IF(ABS((L87-L102)/L87)&gt;'Assumptions - General'!$C$47,"Out by more than threshold","ok"))</f>
        <v>No volume entered.</v>
      </c>
      <c r="M103" s="146" t="str">
        <f>IF(M87=0,"No volume entered.",IF(ABS((M87-M102)/M87)&gt;'Assumptions - General'!$C$47,"Out by more than threshold","ok"))</f>
        <v>No volume entered.</v>
      </c>
      <c r="N103" s="146" t="str">
        <f>IF(N87=0,"No volume entered.",IF(ABS((N87-N102)/N87)&gt;'Assumptions - General'!$C$47,"Out by more than threshold","ok"))</f>
        <v>No volume entered.</v>
      </c>
      <c r="O103" s="146" t="str">
        <f>IF(O87=0,"No volume entered.",IF(ABS((O87-O102)/O87)&gt;'Assumptions - General'!$C$47,"Out by more than threshold","ok"))</f>
        <v>No volume entered.</v>
      </c>
      <c r="P103" s="146" t="str">
        <f>IF(P87=0,"No volume entered.",IF(ABS((P87-P102)/P87)&gt;'Assumptions - General'!$C$47,"Out by more than threshold","ok"))</f>
        <v>No volume entered.</v>
      </c>
      <c r="Q103" s="146" t="str">
        <f>IF(Q87=0,"No volume entered.",IF(ABS((Q87-Q102)/Q87)&gt;'Assumptions - General'!$C$47,"Out by more than threshold","ok"))</f>
        <v>No volume entered.</v>
      </c>
      <c r="R103" s="397"/>
      <c r="S103" s="49"/>
    </row>
    <row r="104" spans="2:19" hidden="1">
      <c r="B104" s="94" t="s">
        <v>533</v>
      </c>
      <c r="C104" s="158"/>
      <c r="D104" s="66"/>
      <c r="E104" s="67" t="str">
        <f>C84</f>
        <v>Decommission and rehabilitate ponds (user build)</v>
      </c>
      <c r="F104" s="72"/>
      <c r="G104" s="63"/>
      <c r="H104" s="63"/>
      <c r="I104" s="63"/>
      <c r="J104" s="63"/>
      <c r="K104" s="63"/>
      <c r="L104" s="63"/>
      <c r="M104" s="63"/>
      <c r="N104" s="63"/>
      <c r="O104" s="63"/>
      <c r="P104" s="63"/>
      <c r="Q104" s="63"/>
      <c r="R104" s="397"/>
      <c r="S104" s="49"/>
    </row>
    <row r="105" spans="2:19" hidden="1">
      <c r="B105" s="94" t="s">
        <v>533</v>
      </c>
      <c r="C105" s="50" t="s">
        <v>969</v>
      </c>
      <c r="D105" s="47" t="s">
        <v>970</v>
      </c>
      <c r="E105" s="47" t="s">
        <v>245</v>
      </c>
      <c r="F105" s="28" t="s">
        <v>211</v>
      </c>
      <c r="H105" s="404"/>
      <c r="I105" s="404"/>
      <c r="J105" s="404"/>
      <c r="K105" s="404"/>
      <c r="L105" s="404"/>
      <c r="M105" s="404"/>
      <c r="N105" s="404"/>
      <c r="O105" s="404"/>
      <c r="P105" s="404"/>
      <c r="Q105" s="404"/>
      <c r="R105" s="397"/>
      <c r="S105" s="49"/>
    </row>
    <row r="106" spans="2:19" hidden="1">
      <c r="B106" s="94" t="s">
        <v>533</v>
      </c>
      <c r="C106" s="52"/>
      <c r="D106" s="47"/>
      <c r="E106" s="47" t="s">
        <v>307</v>
      </c>
      <c r="F106" s="28" t="s">
        <v>219</v>
      </c>
      <c r="H106" s="58">
        <f t="shared" ref="H106:Q106" si="42">H96*H105</f>
        <v>0</v>
      </c>
      <c r="I106" s="58">
        <f t="shared" si="42"/>
        <v>0</v>
      </c>
      <c r="J106" s="58">
        <f t="shared" si="42"/>
        <v>0</v>
      </c>
      <c r="K106" s="58">
        <f t="shared" si="42"/>
        <v>0</v>
      </c>
      <c r="L106" s="58">
        <f t="shared" si="42"/>
        <v>0</v>
      </c>
      <c r="M106" s="58">
        <f t="shared" si="42"/>
        <v>0</v>
      </c>
      <c r="N106" s="58">
        <f t="shared" si="42"/>
        <v>0</v>
      </c>
      <c r="O106" s="58">
        <f t="shared" si="42"/>
        <v>0</v>
      </c>
      <c r="P106" s="58">
        <f t="shared" si="42"/>
        <v>0</v>
      </c>
      <c r="Q106" s="58">
        <f t="shared" si="42"/>
        <v>0</v>
      </c>
      <c r="R106" s="397"/>
      <c r="S106" s="49"/>
    </row>
    <row r="107" spans="2:19" ht="33.75" hidden="1">
      <c r="B107" s="94" t="s">
        <v>533</v>
      </c>
      <c r="C107" s="56"/>
      <c r="D107" s="47"/>
      <c r="E107" s="121" t="s">
        <v>971</v>
      </c>
      <c r="F107" s="28" t="s">
        <v>123</v>
      </c>
      <c r="H107" s="503" t="s">
        <v>972</v>
      </c>
      <c r="I107" s="503" t="s">
        <v>973</v>
      </c>
      <c r="J107" s="503" t="s">
        <v>973</v>
      </c>
      <c r="K107" s="503" t="s">
        <v>973</v>
      </c>
      <c r="L107" s="503" t="s">
        <v>973</v>
      </c>
      <c r="M107" s="503" t="s">
        <v>973</v>
      </c>
      <c r="N107" s="503" t="s">
        <v>973</v>
      </c>
      <c r="O107" s="503" t="s">
        <v>973</v>
      </c>
      <c r="P107" s="503" t="s">
        <v>973</v>
      </c>
      <c r="Q107" s="503" t="s">
        <v>973</v>
      </c>
      <c r="R107" s="397"/>
      <c r="S107" s="49"/>
    </row>
    <row r="108" spans="2:19" hidden="1">
      <c r="B108" s="94" t="s">
        <v>533</v>
      </c>
      <c r="C108" s="50" t="s">
        <v>756</v>
      </c>
      <c r="D108" s="47" t="s">
        <v>873</v>
      </c>
      <c r="E108" s="47" t="s">
        <v>227</v>
      </c>
      <c r="F108" s="28" t="s">
        <v>241</v>
      </c>
      <c r="H108" s="54">
        <f t="shared" ref="H108:Q108" si="43">_xlfn.XLOOKUP(H107,Load_haul_fill_names_CS,Load_haul_fill_rates_CS)</f>
        <v>6.0917972508690017</v>
      </c>
      <c r="I108" s="54">
        <f t="shared" si="43"/>
        <v>4.7785913685160599</v>
      </c>
      <c r="J108" s="54">
        <f t="shared" si="43"/>
        <v>4.7785913685160599</v>
      </c>
      <c r="K108" s="54">
        <f t="shared" si="43"/>
        <v>4.7785913685160599</v>
      </c>
      <c r="L108" s="54">
        <f t="shared" si="43"/>
        <v>4.7785913685160599</v>
      </c>
      <c r="M108" s="54">
        <f t="shared" si="43"/>
        <v>4.7785913685160599</v>
      </c>
      <c r="N108" s="54">
        <f t="shared" si="43"/>
        <v>4.7785913685160599</v>
      </c>
      <c r="O108" s="54">
        <f t="shared" si="43"/>
        <v>4.7785913685160599</v>
      </c>
      <c r="P108" s="54">
        <f t="shared" si="43"/>
        <v>4.7785913685160599</v>
      </c>
      <c r="Q108" s="54">
        <f t="shared" si="43"/>
        <v>4.7785913685160599</v>
      </c>
      <c r="R108" s="397"/>
      <c r="S108" s="49"/>
    </row>
    <row r="109" spans="2:19" hidden="1">
      <c r="B109" s="94" t="s">
        <v>533</v>
      </c>
      <c r="C109" s="52"/>
      <c r="D109" s="47"/>
      <c r="E109" s="47" t="s">
        <v>229</v>
      </c>
      <c r="F109" s="28" t="s">
        <v>241</v>
      </c>
      <c r="H109" s="414"/>
      <c r="I109" s="414"/>
      <c r="J109" s="414"/>
      <c r="K109" s="414"/>
      <c r="L109" s="414"/>
      <c r="M109" s="414"/>
      <c r="N109" s="414"/>
      <c r="O109" s="414"/>
      <c r="P109" s="414"/>
      <c r="Q109" s="414"/>
      <c r="R109" s="397"/>
      <c r="S109" s="49"/>
    </row>
    <row r="110" spans="2:19" hidden="1">
      <c r="B110" s="94" t="s">
        <v>533</v>
      </c>
      <c r="C110" s="56"/>
      <c r="D110" s="47"/>
      <c r="E110" s="47" t="s">
        <v>146</v>
      </c>
      <c r="F110" s="28" t="s">
        <v>207</v>
      </c>
      <c r="G110" s="28"/>
      <c r="H110" s="71">
        <f>H106*IF(H109="",H108,H109)</f>
        <v>0</v>
      </c>
      <c r="I110" s="71">
        <f t="shared" ref="I110:Q110" si="44">I106*IF(I109="",I108,I109)</f>
        <v>0</v>
      </c>
      <c r="J110" s="71">
        <f t="shared" si="44"/>
        <v>0</v>
      </c>
      <c r="K110" s="71">
        <f t="shared" si="44"/>
        <v>0</v>
      </c>
      <c r="L110" s="71">
        <f t="shared" si="44"/>
        <v>0</v>
      </c>
      <c r="M110" s="71">
        <f t="shared" si="44"/>
        <v>0</v>
      </c>
      <c r="N110" s="71">
        <f t="shared" si="44"/>
        <v>0</v>
      </c>
      <c r="O110" s="71">
        <f t="shared" si="44"/>
        <v>0</v>
      </c>
      <c r="P110" s="71">
        <f t="shared" si="44"/>
        <v>0</v>
      </c>
      <c r="Q110" s="71">
        <f t="shared" si="44"/>
        <v>0</v>
      </c>
      <c r="R110" s="397"/>
      <c r="S110" s="49"/>
    </row>
    <row r="111" spans="2:19" hidden="1">
      <c r="B111" s="94" t="s">
        <v>533</v>
      </c>
      <c r="C111" s="158"/>
      <c r="D111" s="66"/>
      <c r="E111" s="67" t="str">
        <f>C105</f>
        <v>Remove sediment</v>
      </c>
      <c r="F111" s="72"/>
      <c r="G111" s="63"/>
      <c r="H111" s="80">
        <f>H110</f>
        <v>0</v>
      </c>
      <c r="I111" s="80">
        <f t="shared" ref="I111:Q111" si="45">I110</f>
        <v>0</v>
      </c>
      <c r="J111" s="80">
        <f t="shared" si="45"/>
        <v>0</v>
      </c>
      <c r="K111" s="80">
        <f t="shared" si="45"/>
        <v>0</v>
      </c>
      <c r="L111" s="80">
        <f t="shared" si="45"/>
        <v>0</v>
      </c>
      <c r="M111" s="80">
        <f t="shared" si="45"/>
        <v>0</v>
      </c>
      <c r="N111" s="80">
        <f t="shared" si="45"/>
        <v>0</v>
      </c>
      <c r="O111" s="80">
        <f t="shared" si="45"/>
        <v>0</v>
      </c>
      <c r="P111" s="80">
        <f t="shared" si="45"/>
        <v>0</v>
      </c>
      <c r="Q111" s="80">
        <f t="shared" si="45"/>
        <v>0</v>
      </c>
      <c r="R111" s="397"/>
      <c r="S111" s="49"/>
    </row>
    <row r="112" spans="2:19" hidden="1">
      <c r="B112" s="94" t="s">
        <v>533</v>
      </c>
      <c r="C112" s="159" t="s">
        <v>974</v>
      </c>
      <c r="D112" s="59" t="s">
        <v>975</v>
      </c>
      <c r="E112" s="47" t="s">
        <v>307</v>
      </c>
      <c r="F112" s="28" t="s">
        <v>219</v>
      </c>
      <c r="H112" s="58">
        <f>H93*H99</f>
        <v>0</v>
      </c>
      <c r="I112" s="58">
        <f t="shared" ref="I112:Q112" si="46">I93*I99</f>
        <v>0</v>
      </c>
      <c r="J112" s="58">
        <f t="shared" si="46"/>
        <v>0</v>
      </c>
      <c r="K112" s="58">
        <f t="shared" si="46"/>
        <v>0</v>
      </c>
      <c r="L112" s="58">
        <f t="shared" si="46"/>
        <v>0</v>
      </c>
      <c r="M112" s="58">
        <f t="shared" si="46"/>
        <v>0</v>
      </c>
      <c r="N112" s="58">
        <f t="shared" si="46"/>
        <v>0</v>
      </c>
      <c r="O112" s="58">
        <f t="shared" si="46"/>
        <v>0</v>
      </c>
      <c r="P112" s="58">
        <f t="shared" si="46"/>
        <v>0</v>
      </c>
      <c r="Q112" s="58">
        <f t="shared" si="46"/>
        <v>0</v>
      </c>
      <c r="R112" s="397"/>
      <c r="S112" s="49"/>
    </row>
    <row r="113" spans="2:19" ht="22.5" hidden="1">
      <c r="B113" s="94" t="s">
        <v>533</v>
      </c>
      <c r="C113" s="52"/>
      <c r="D113" s="60"/>
      <c r="E113" s="121" t="s">
        <v>976</v>
      </c>
      <c r="F113" s="28" t="s">
        <v>123</v>
      </c>
      <c r="H113" s="503" t="s">
        <v>977</v>
      </c>
      <c r="I113" s="503" t="s">
        <v>977</v>
      </c>
      <c r="J113" s="503" t="s">
        <v>977</v>
      </c>
      <c r="K113" s="503" t="s">
        <v>977</v>
      </c>
      <c r="L113" s="503" t="s">
        <v>977</v>
      </c>
      <c r="M113" s="503" t="s">
        <v>977</v>
      </c>
      <c r="N113" s="503" t="s">
        <v>977</v>
      </c>
      <c r="O113" s="503" t="s">
        <v>977</v>
      </c>
      <c r="P113" s="503" t="s">
        <v>977</v>
      </c>
      <c r="Q113" s="503" t="s">
        <v>977</v>
      </c>
      <c r="R113" s="397"/>
      <c r="S113" s="49"/>
    </row>
    <row r="114" spans="2:19" hidden="1">
      <c r="B114" s="94" t="s">
        <v>533</v>
      </c>
      <c r="C114" s="52"/>
      <c r="D114" s="60"/>
      <c r="E114" s="47" t="s">
        <v>227</v>
      </c>
      <c r="F114" s="28" t="s">
        <v>241</v>
      </c>
      <c r="H114" s="54">
        <f t="shared" ref="H114:Q114" si="47">_xlfn.XLOOKUP(H113,Dozer_push_names_CS,Dozer_push_rates_CS)</f>
        <v>0.45363864131175463</v>
      </c>
      <c r="I114" s="54">
        <f t="shared" si="47"/>
        <v>0.45363864131175463</v>
      </c>
      <c r="J114" s="54">
        <f t="shared" si="47"/>
        <v>0.45363864131175463</v>
      </c>
      <c r="K114" s="54">
        <f t="shared" si="47"/>
        <v>0.45363864131175463</v>
      </c>
      <c r="L114" s="54">
        <f t="shared" si="47"/>
        <v>0.45363864131175463</v>
      </c>
      <c r="M114" s="54">
        <f t="shared" si="47"/>
        <v>0.45363864131175463</v>
      </c>
      <c r="N114" s="54">
        <f t="shared" si="47"/>
        <v>0.45363864131175463</v>
      </c>
      <c r="O114" s="54">
        <f t="shared" si="47"/>
        <v>0.45363864131175463</v>
      </c>
      <c r="P114" s="54">
        <f t="shared" si="47"/>
        <v>0.45363864131175463</v>
      </c>
      <c r="Q114" s="54">
        <f t="shared" si="47"/>
        <v>0.45363864131175463</v>
      </c>
      <c r="R114" s="397"/>
      <c r="S114" s="49"/>
    </row>
    <row r="115" spans="2:19" hidden="1">
      <c r="B115" s="94" t="s">
        <v>533</v>
      </c>
      <c r="C115" s="52"/>
      <c r="D115" s="60"/>
      <c r="E115" s="47" t="s">
        <v>229</v>
      </c>
      <c r="F115" s="28" t="s">
        <v>241</v>
      </c>
      <c r="H115" s="414"/>
      <c r="I115" s="414"/>
      <c r="J115" s="414"/>
      <c r="K115" s="414"/>
      <c r="L115" s="414"/>
      <c r="M115" s="414"/>
      <c r="N115" s="414"/>
      <c r="O115" s="414"/>
      <c r="P115" s="414"/>
      <c r="Q115" s="414"/>
      <c r="R115" s="397"/>
      <c r="S115" s="49"/>
    </row>
    <row r="116" spans="2:19" hidden="1">
      <c r="B116" s="94" t="s">
        <v>533</v>
      </c>
      <c r="C116" s="56"/>
      <c r="D116" s="45"/>
      <c r="E116" s="47" t="s">
        <v>146</v>
      </c>
      <c r="F116" s="28" t="s">
        <v>207</v>
      </c>
      <c r="G116" s="28"/>
      <c r="H116" s="71">
        <f>H112*IF(H115="",H114,H115)</f>
        <v>0</v>
      </c>
      <c r="I116" s="71">
        <f t="shared" ref="I116" si="48">I112*IF(I115="",I114,I115)</f>
        <v>0</v>
      </c>
      <c r="J116" s="71">
        <f t="shared" ref="J116" si="49">J112*IF(J115="",J114,J115)</f>
        <v>0</v>
      </c>
      <c r="K116" s="71">
        <f t="shared" ref="K116" si="50">K112*IF(K115="",K114,K115)</f>
        <v>0</v>
      </c>
      <c r="L116" s="71">
        <f t="shared" ref="L116" si="51">L112*IF(L115="",L114,L115)</f>
        <v>0</v>
      </c>
      <c r="M116" s="71">
        <f t="shared" ref="M116" si="52">M112*IF(M115="",M114,M115)</f>
        <v>0</v>
      </c>
      <c r="N116" s="71">
        <f t="shared" ref="N116" si="53">N112*IF(N115="",N114,N115)</f>
        <v>0</v>
      </c>
      <c r="O116" s="71">
        <f t="shared" ref="O116" si="54">O112*IF(O115="",O114,O115)</f>
        <v>0</v>
      </c>
      <c r="P116" s="71">
        <f t="shared" ref="P116" si="55">P112*IF(P115="",P114,P115)</f>
        <v>0</v>
      </c>
      <c r="Q116" s="71">
        <f t="shared" ref="Q116" si="56">Q112*IF(Q115="",Q114,Q115)</f>
        <v>0</v>
      </c>
      <c r="R116" s="397"/>
      <c r="S116" s="49"/>
    </row>
    <row r="117" spans="2:19" hidden="1">
      <c r="B117" s="94" t="s">
        <v>533</v>
      </c>
      <c r="C117" s="50" t="s">
        <v>978</v>
      </c>
      <c r="D117" s="59" t="s">
        <v>979</v>
      </c>
      <c r="E117" s="47" t="s">
        <v>980</v>
      </c>
      <c r="F117" s="28" t="s">
        <v>219</v>
      </c>
      <c r="G117" s="28"/>
      <c r="H117" s="58">
        <f>H102-H93*H99</f>
        <v>0</v>
      </c>
      <c r="I117" s="58">
        <f t="shared" ref="I117:Q117" si="57">I102-I93*I99</f>
        <v>0</v>
      </c>
      <c r="J117" s="58">
        <f t="shared" si="57"/>
        <v>0</v>
      </c>
      <c r="K117" s="58">
        <f t="shared" si="57"/>
        <v>0</v>
      </c>
      <c r="L117" s="58">
        <f t="shared" si="57"/>
        <v>0</v>
      </c>
      <c r="M117" s="58">
        <f t="shared" si="57"/>
        <v>0</v>
      </c>
      <c r="N117" s="58">
        <f t="shared" si="57"/>
        <v>0</v>
      </c>
      <c r="O117" s="58">
        <f t="shared" si="57"/>
        <v>0</v>
      </c>
      <c r="P117" s="58">
        <f t="shared" si="57"/>
        <v>0</v>
      </c>
      <c r="Q117" s="58">
        <f t="shared" si="57"/>
        <v>0</v>
      </c>
      <c r="R117" s="397"/>
      <c r="S117" s="49"/>
    </row>
    <row r="118" spans="2:19" hidden="1">
      <c r="B118" s="94" t="s">
        <v>533</v>
      </c>
      <c r="C118" s="52" t="s">
        <v>978</v>
      </c>
      <c r="D118" s="60" t="s">
        <v>979</v>
      </c>
      <c r="E118" s="47" t="s">
        <v>981</v>
      </c>
      <c r="F118" s="28" t="s">
        <v>219</v>
      </c>
      <c r="G118" s="28"/>
      <c r="H118" s="562"/>
      <c r="I118" s="562"/>
      <c r="J118" s="562"/>
      <c r="K118" s="562"/>
      <c r="L118" s="562"/>
      <c r="M118" s="562"/>
      <c r="N118" s="562"/>
      <c r="O118" s="562"/>
      <c r="P118" s="562"/>
      <c r="Q118" s="562"/>
      <c r="R118" s="397"/>
      <c r="S118" s="49"/>
    </row>
    <row r="119" spans="2:19" hidden="1">
      <c r="B119" s="94" t="s">
        <v>533</v>
      </c>
      <c r="C119" s="56" t="s">
        <v>978</v>
      </c>
      <c r="D119" s="45" t="s">
        <v>979</v>
      </c>
      <c r="E119" s="47" t="s">
        <v>982</v>
      </c>
      <c r="F119" s="28" t="s">
        <v>219</v>
      </c>
      <c r="H119" s="58">
        <f>IF(H118="",H117,H118)</f>
        <v>0</v>
      </c>
      <c r="I119" s="58">
        <f t="shared" ref="I119:Q119" si="58">IF(I118="",I117,I118)</f>
        <v>0</v>
      </c>
      <c r="J119" s="58">
        <f t="shared" si="58"/>
        <v>0</v>
      </c>
      <c r="K119" s="58">
        <f t="shared" si="58"/>
        <v>0</v>
      </c>
      <c r="L119" s="58">
        <f t="shared" si="58"/>
        <v>0</v>
      </c>
      <c r="M119" s="58">
        <f t="shared" si="58"/>
        <v>0</v>
      </c>
      <c r="N119" s="58">
        <f t="shared" si="58"/>
        <v>0</v>
      </c>
      <c r="O119" s="58">
        <f t="shared" si="58"/>
        <v>0</v>
      </c>
      <c r="P119" s="58">
        <f t="shared" si="58"/>
        <v>0</v>
      </c>
      <c r="Q119" s="58">
        <f t="shared" si="58"/>
        <v>0</v>
      </c>
      <c r="R119" s="397"/>
      <c r="S119" s="49"/>
    </row>
    <row r="120" spans="2:19" ht="33.75" hidden="1">
      <c r="B120" s="94" t="s">
        <v>533</v>
      </c>
      <c r="C120" s="50" t="s">
        <v>983</v>
      </c>
      <c r="D120" s="59" t="s">
        <v>979</v>
      </c>
      <c r="E120" s="121" t="s">
        <v>976</v>
      </c>
      <c r="F120" s="28" t="s">
        <v>123</v>
      </c>
      <c r="H120" s="503" t="s">
        <v>984</v>
      </c>
      <c r="I120" s="503" t="s">
        <v>973</v>
      </c>
      <c r="J120" s="503" t="s">
        <v>973</v>
      </c>
      <c r="K120" s="503" t="s">
        <v>973</v>
      </c>
      <c r="L120" s="503" t="s">
        <v>973</v>
      </c>
      <c r="M120" s="503" t="s">
        <v>973</v>
      </c>
      <c r="N120" s="503" t="s">
        <v>973</v>
      </c>
      <c r="O120" s="503" t="s">
        <v>973</v>
      </c>
      <c r="P120" s="503" t="s">
        <v>973</v>
      </c>
      <c r="Q120" s="503" t="s">
        <v>973</v>
      </c>
      <c r="R120" s="397"/>
      <c r="S120" s="49"/>
    </row>
    <row r="121" spans="2:19" hidden="1">
      <c r="B121" s="94" t="s">
        <v>533</v>
      </c>
      <c r="C121" s="52" t="s">
        <v>983</v>
      </c>
      <c r="D121" s="60" t="s">
        <v>979</v>
      </c>
      <c r="E121" s="47" t="s">
        <v>227</v>
      </c>
      <c r="F121" s="28" t="s">
        <v>241</v>
      </c>
      <c r="H121" s="54">
        <f t="shared" ref="H121:Q121" si="59">_xlfn.XLOOKUP(H120,Load_haul_fill_names_CS,Load_haul_fill_rates_CS)</f>
        <v>4.0309443096925301</v>
      </c>
      <c r="I121" s="54">
        <f t="shared" si="59"/>
        <v>4.7785913685160599</v>
      </c>
      <c r="J121" s="54">
        <f t="shared" si="59"/>
        <v>4.7785913685160599</v>
      </c>
      <c r="K121" s="54">
        <f t="shared" si="59"/>
        <v>4.7785913685160599</v>
      </c>
      <c r="L121" s="54">
        <f t="shared" si="59"/>
        <v>4.7785913685160599</v>
      </c>
      <c r="M121" s="54">
        <f t="shared" si="59"/>
        <v>4.7785913685160599</v>
      </c>
      <c r="N121" s="54">
        <f t="shared" si="59"/>
        <v>4.7785913685160599</v>
      </c>
      <c r="O121" s="54">
        <f t="shared" si="59"/>
        <v>4.7785913685160599</v>
      </c>
      <c r="P121" s="54">
        <f t="shared" si="59"/>
        <v>4.7785913685160599</v>
      </c>
      <c r="Q121" s="54">
        <f t="shared" si="59"/>
        <v>4.7785913685160599</v>
      </c>
      <c r="R121" s="397"/>
      <c r="S121" s="49"/>
    </row>
    <row r="122" spans="2:19" hidden="1">
      <c r="B122" s="94" t="s">
        <v>533</v>
      </c>
      <c r="C122" s="52" t="s">
        <v>983</v>
      </c>
      <c r="D122" s="60" t="s">
        <v>979</v>
      </c>
      <c r="E122" s="47" t="s">
        <v>229</v>
      </c>
      <c r="F122" s="28" t="s">
        <v>241</v>
      </c>
      <c r="H122" s="414"/>
      <c r="I122" s="414"/>
      <c r="J122" s="414"/>
      <c r="K122" s="414"/>
      <c r="L122" s="414"/>
      <c r="M122" s="414"/>
      <c r="N122" s="414"/>
      <c r="O122" s="414"/>
      <c r="P122" s="414"/>
      <c r="Q122" s="414"/>
      <c r="R122" s="397"/>
      <c r="S122" s="49"/>
    </row>
    <row r="123" spans="2:19" hidden="1">
      <c r="B123" s="94" t="s">
        <v>533</v>
      </c>
      <c r="C123" s="56" t="s">
        <v>983</v>
      </c>
      <c r="D123" s="45" t="s">
        <v>979</v>
      </c>
      <c r="E123" s="47" t="s">
        <v>146</v>
      </c>
      <c r="F123" s="28" t="s">
        <v>207</v>
      </c>
      <c r="G123" s="28"/>
      <c r="H123" s="71">
        <f>H119*IF(H122="",H121,H122)</f>
        <v>0</v>
      </c>
      <c r="I123" s="71">
        <f t="shared" ref="I123:Q123" si="60">I119*IF(I122="",I121,I122)</f>
        <v>0</v>
      </c>
      <c r="J123" s="71">
        <f t="shared" si="60"/>
        <v>0</v>
      </c>
      <c r="K123" s="71">
        <f t="shared" si="60"/>
        <v>0</v>
      </c>
      <c r="L123" s="71">
        <f t="shared" si="60"/>
        <v>0</v>
      </c>
      <c r="M123" s="71">
        <f t="shared" si="60"/>
        <v>0</v>
      </c>
      <c r="N123" s="71">
        <f t="shared" si="60"/>
        <v>0</v>
      </c>
      <c r="O123" s="71">
        <f t="shared" si="60"/>
        <v>0</v>
      </c>
      <c r="P123" s="71">
        <f t="shared" si="60"/>
        <v>0</v>
      </c>
      <c r="Q123" s="71">
        <f t="shared" si="60"/>
        <v>0</v>
      </c>
      <c r="R123" s="397"/>
      <c r="S123" s="49"/>
    </row>
    <row r="124" spans="2:19" hidden="1">
      <c r="B124" s="94" t="s">
        <v>533</v>
      </c>
      <c r="C124" s="158"/>
      <c r="D124" s="66"/>
      <c r="E124" s="67" t="str">
        <f>C112</f>
        <v>Push in bunds</v>
      </c>
      <c r="F124" s="72"/>
      <c r="G124" s="63"/>
      <c r="H124" s="80">
        <f>H116+H123</f>
        <v>0</v>
      </c>
      <c r="I124" s="80">
        <f t="shared" ref="I124:Q124" si="61">I116+I123</f>
        <v>0</v>
      </c>
      <c r="J124" s="80">
        <f t="shared" si="61"/>
        <v>0</v>
      </c>
      <c r="K124" s="80">
        <f t="shared" si="61"/>
        <v>0</v>
      </c>
      <c r="L124" s="80">
        <f t="shared" si="61"/>
        <v>0</v>
      </c>
      <c r="M124" s="80">
        <f t="shared" si="61"/>
        <v>0</v>
      </c>
      <c r="N124" s="80">
        <f t="shared" si="61"/>
        <v>0</v>
      </c>
      <c r="O124" s="80">
        <f t="shared" si="61"/>
        <v>0</v>
      </c>
      <c r="P124" s="80">
        <f t="shared" si="61"/>
        <v>0</v>
      </c>
      <c r="Q124" s="80">
        <f t="shared" si="61"/>
        <v>0</v>
      </c>
      <c r="R124" s="397"/>
      <c r="S124" s="49"/>
    </row>
    <row r="125" spans="2:19" hidden="1">
      <c r="B125" s="94" t="s">
        <v>533</v>
      </c>
      <c r="C125" s="159" t="s">
        <v>985</v>
      </c>
      <c r="D125" s="59" t="s">
        <v>986</v>
      </c>
      <c r="E125" s="49" t="s">
        <v>987</v>
      </c>
      <c r="F125" s="28" t="s">
        <v>217</v>
      </c>
      <c r="H125" s="70">
        <f t="shared" ref="H125:Q125" si="62">Dam_liner_multiplier_to_account_for_sides</f>
        <v>1.2</v>
      </c>
      <c r="I125" s="70">
        <f t="shared" si="62"/>
        <v>1.2</v>
      </c>
      <c r="J125" s="70">
        <f t="shared" si="62"/>
        <v>1.2</v>
      </c>
      <c r="K125" s="70">
        <f t="shared" si="62"/>
        <v>1.2</v>
      </c>
      <c r="L125" s="70">
        <f t="shared" si="62"/>
        <v>1.2</v>
      </c>
      <c r="M125" s="70">
        <f t="shared" si="62"/>
        <v>1.2</v>
      </c>
      <c r="N125" s="70">
        <f t="shared" si="62"/>
        <v>1.2</v>
      </c>
      <c r="O125" s="70">
        <f t="shared" si="62"/>
        <v>1.2</v>
      </c>
      <c r="P125" s="70">
        <f t="shared" si="62"/>
        <v>1.2</v>
      </c>
      <c r="Q125" s="70">
        <f t="shared" si="62"/>
        <v>1.2</v>
      </c>
      <c r="R125" s="397"/>
      <c r="S125" s="49"/>
    </row>
    <row r="126" spans="2:19" hidden="1">
      <c r="B126" s="94" t="s">
        <v>533</v>
      </c>
      <c r="C126" s="56"/>
      <c r="D126" s="60"/>
      <c r="E126" s="49" t="s">
        <v>988</v>
      </c>
      <c r="F126" s="28" t="s">
        <v>299</v>
      </c>
      <c r="H126" s="70">
        <f t="shared" ref="H126:Q126" si="63">IF(H85=Lined,H125*H101,0)</f>
        <v>0</v>
      </c>
      <c r="I126" s="70">
        <f t="shared" si="63"/>
        <v>0</v>
      </c>
      <c r="J126" s="70">
        <f t="shared" si="63"/>
        <v>0</v>
      </c>
      <c r="K126" s="70">
        <f t="shared" si="63"/>
        <v>0</v>
      </c>
      <c r="L126" s="70">
        <f t="shared" si="63"/>
        <v>0</v>
      </c>
      <c r="M126" s="70">
        <f t="shared" si="63"/>
        <v>0</v>
      </c>
      <c r="N126" s="70">
        <f t="shared" si="63"/>
        <v>0</v>
      </c>
      <c r="O126" s="70">
        <f t="shared" si="63"/>
        <v>0</v>
      </c>
      <c r="P126" s="70">
        <f t="shared" si="63"/>
        <v>0</v>
      </c>
      <c r="Q126" s="70">
        <f t="shared" si="63"/>
        <v>0</v>
      </c>
      <c r="R126" s="397"/>
      <c r="S126" s="49"/>
    </row>
    <row r="127" spans="2:19" hidden="1">
      <c r="B127" s="94" t="s">
        <v>533</v>
      </c>
      <c r="C127" s="50" t="s">
        <v>989</v>
      </c>
      <c r="D127" s="60"/>
      <c r="E127" s="47" t="s">
        <v>227</v>
      </c>
      <c r="F127" s="28" t="s">
        <v>329</v>
      </c>
      <c r="H127" s="54">
        <f>'Cost Schedule'!$D$202</f>
        <v>5490.5329023463619</v>
      </c>
      <c r="I127" s="54">
        <f>'Cost Schedule'!$D$202</f>
        <v>5490.5329023463619</v>
      </c>
      <c r="J127" s="54">
        <f>'Cost Schedule'!$D$202</f>
        <v>5490.5329023463619</v>
      </c>
      <c r="K127" s="54">
        <f>'Cost Schedule'!$D$202</f>
        <v>5490.5329023463619</v>
      </c>
      <c r="L127" s="54">
        <f>'Cost Schedule'!$D$202</f>
        <v>5490.5329023463619</v>
      </c>
      <c r="M127" s="54">
        <f>'Cost Schedule'!$D$202</f>
        <v>5490.5329023463619</v>
      </c>
      <c r="N127" s="54">
        <f>'Cost Schedule'!$D$202</f>
        <v>5490.5329023463619</v>
      </c>
      <c r="O127" s="54">
        <f>'Cost Schedule'!$D$202</f>
        <v>5490.5329023463619</v>
      </c>
      <c r="P127" s="54">
        <f>'Cost Schedule'!$D$202</f>
        <v>5490.5329023463619</v>
      </c>
      <c r="Q127" s="54">
        <f>'Cost Schedule'!$D$202</f>
        <v>5490.5329023463619</v>
      </c>
      <c r="R127" s="397"/>
      <c r="S127" s="49"/>
    </row>
    <row r="128" spans="2:19" hidden="1">
      <c r="B128" s="94" t="s">
        <v>533</v>
      </c>
      <c r="C128" s="52"/>
      <c r="D128" s="60"/>
      <c r="E128" s="47" t="s">
        <v>229</v>
      </c>
      <c r="F128" s="28" t="s">
        <v>329</v>
      </c>
      <c r="H128" s="414"/>
      <c r="I128" s="414"/>
      <c r="J128" s="414"/>
      <c r="K128" s="414"/>
      <c r="L128" s="414"/>
      <c r="M128" s="414"/>
      <c r="N128" s="414"/>
      <c r="O128" s="414"/>
      <c r="P128" s="414"/>
      <c r="Q128" s="414"/>
      <c r="R128" s="397"/>
      <c r="S128" s="49"/>
    </row>
    <row r="129" spans="2:19" hidden="1">
      <c r="B129" s="94" t="s">
        <v>533</v>
      </c>
      <c r="C129" s="52"/>
      <c r="D129" s="60"/>
      <c r="E129" s="47" t="s">
        <v>146</v>
      </c>
      <c r="F129" s="28" t="s">
        <v>207</v>
      </c>
      <c r="G129" s="28"/>
      <c r="H129" s="71">
        <f>H126*IF(H128="",H127,H128)</f>
        <v>0</v>
      </c>
      <c r="I129" s="71">
        <f t="shared" ref="I129:Q129" si="64">I126*IF(I128="",I127,I128)</f>
        <v>0</v>
      </c>
      <c r="J129" s="71">
        <f t="shared" si="64"/>
        <v>0</v>
      </c>
      <c r="K129" s="71">
        <f t="shared" si="64"/>
        <v>0</v>
      </c>
      <c r="L129" s="71">
        <f t="shared" si="64"/>
        <v>0</v>
      </c>
      <c r="M129" s="71">
        <f t="shared" si="64"/>
        <v>0</v>
      </c>
      <c r="N129" s="71">
        <f t="shared" si="64"/>
        <v>0</v>
      </c>
      <c r="O129" s="71">
        <f t="shared" si="64"/>
        <v>0</v>
      </c>
      <c r="P129" s="71">
        <f t="shared" si="64"/>
        <v>0</v>
      </c>
      <c r="Q129" s="71">
        <f t="shared" si="64"/>
        <v>0</v>
      </c>
      <c r="R129" s="397"/>
      <c r="S129" s="49"/>
    </row>
    <row r="130" spans="2:19" hidden="1">
      <c r="B130" s="94" t="s">
        <v>533</v>
      </c>
      <c r="C130" s="52"/>
      <c r="D130" s="60"/>
      <c r="E130" s="49" t="s">
        <v>990</v>
      </c>
      <c r="F130" s="28" t="s">
        <v>991</v>
      </c>
      <c r="H130" s="142">
        <f t="shared" ref="H130:Q130" si="65">Liner_specific_mass</f>
        <v>2.0999999999999999E-3</v>
      </c>
      <c r="I130" s="142">
        <f t="shared" si="65"/>
        <v>2.0999999999999999E-3</v>
      </c>
      <c r="J130" s="142">
        <f t="shared" si="65"/>
        <v>2.0999999999999999E-3</v>
      </c>
      <c r="K130" s="142">
        <f t="shared" si="65"/>
        <v>2.0999999999999999E-3</v>
      </c>
      <c r="L130" s="142">
        <f t="shared" si="65"/>
        <v>2.0999999999999999E-3</v>
      </c>
      <c r="M130" s="142">
        <f t="shared" si="65"/>
        <v>2.0999999999999999E-3</v>
      </c>
      <c r="N130" s="142">
        <f t="shared" si="65"/>
        <v>2.0999999999999999E-3</v>
      </c>
      <c r="O130" s="142">
        <f t="shared" si="65"/>
        <v>2.0999999999999999E-3</v>
      </c>
      <c r="P130" s="142">
        <f t="shared" si="65"/>
        <v>2.0999999999999999E-3</v>
      </c>
      <c r="Q130" s="142">
        <f t="shared" si="65"/>
        <v>2.0999999999999999E-3</v>
      </c>
      <c r="R130" s="397"/>
      <c r="S130" s="49"/>
    </row>
    <row r="131" spans="2:19" hidden="1">
      <c r="B131" s="94" t="s">
        <v>533</v>
      </c>
      <c r="C131" s="56"/>
      <c r="D131" s="60"/>
      <c r="E131" s="49" t="s">
        <v>992</v>
      </c>
      <c r="F131" s="28" t="s">
        <v>221</v>
      </c>
      <c r="H131" s="105">
        <f t="shared" ref="H131:Q131" si="66">H130*H126*Conv_sqm_ha</f>
        <v>0</v>
      </c>
      <c r="I131" s="105">
        <f t="shared" si="66"/>
        <v>0</v>
      </c>
      <c r="J131" s="105">
        <f t="shared" si="66"/>
        <v>0</v>
      </c>
      <c r="K131" s="105">
        <f t="shared" si="66"/>
        <v>0</v>
      </c>
      <c r="L131" s="105">
        <f t="shared" si="66"/>
        <v>0</v>
      </c>
      <c r="M131" s="105">
        <f t="shared" si="66"/>
        <v>0</v>
      </c>
      <c r="N131" s="105">
        <f t="shared" si="66"/>
        <v>0</v>
      </c>
      <c r="O131" s="105">
        <f t="shared" si="66"/>
        <v>0</v>
      </c>
      <c r="P131" s="105">
        <f t="shared" si="66"/>
        <v>0</v>
      </c>
      <c r="Q131" s="105">
        <f t="shared" si="66"/>
        <v>0</v>
      </c>
      <c r="R131" s="397"/>
      <c r="S131" s="49"/>
    </row>
    <row r="132" spans="2:19" hidden="1">
      <c r="B132" s="94" t="s">
        <v>533</v>
      </c>
      <c r="C132" s="50" t="s">
        <v>993</v>
      </c>
      <c r="D132" s="60"/>
      <c r="E132" s="49" t="s">
        <v>994</v>
      </c>
      <c r="F132" s="28" t="s">
        <v>123</v>
      </c>
      <c r="H132" s="503" t="s">
        <v>995</v>
      </c>
      <c r="I132" s="503" t="s">
        <v>545</v>
      </c>
      <c r="J132" s="503" t="s">
        <v>545</v>
      </c>
      <c r="K132" s="503" t="s">
        <v>545</v>
      </c>
      <c r="L132" s="503" t="s">
        <v>545</v>
      </c>
      <c r="M132" s="503" t="s">
        <v>545</v>
      </c>
      <c r="N132" s="503" t="s">
        <v>545</v>
      </c>
      <c r="O132" s="503" t="s">
        <v>545</v>
      </c>
      <c r="P132" s="503" t="s">
        <v>545</v>
      </c>
      <c r="Q132" s="503" t="s">
        <v>545</v>
      </c>
      <c r="R132" s="397"/>
      <c r="S132" s="49"/>
    </row>
    <row r="133" spans="2:19" hidden="1">
      <c r="B133" s="94" t="s">
        <v>533</v>
      </c>
      <c r="C133" s="52"/>
      <c r="D133" s="60"/>
      <c r="E133" s="49" t="s">
        <v>996</v>
      </c>
      <c r="F133" s="28" t="s">
        <v>411</v>
      </c>
      <c r="H133" s="105">
        <f t="shared" ref="H133" si="67">_xlfn.XLOOKUP(H132,Long_haul_distance_names_L,Long_haul_distances_average_L)</f>
        <v>225</v>
      </c>
      <c r="I133" s="105">
        <f t="shared" ref="I133:L133" si="68">_xlfn.XLOOKUP(I132,Long_haul_distance_names_L,Long_haul_distances_average_L)</f>
        <v>17.5</v>
      </c>
      <c r="J133" s="105">
        <f t="shared" si="68"/>
        <v>17.5</v>
      </c>
      <c r="K133" s="105">
        <f t="shared" si="68"/>
        <v>17.5</v>
      </c>
      <c r="L133" s="105">
        <f t="shared" si="68"/>
        <v>17.5</v>
      </c>
      <c r="M133" s="105">
        <f t="shared" ref="M133:Q133" si="69">_xlfn.XLOOKUP(M132,Long_haul_distance_names_L,Long_haul_distances_average_L)</f>
        <v>17.5</v>
      </c>
      <c r="N133" s="105">
        <f t="shared" si="69"/>
        <v>17.5</v>
      </c>
      <c r="O133" s="105">
        <f t="shared" si="69"/>
        <v>17.5</v>
      </c>
      <c r="P133" s="105">
        <f t="shared" si="69"/>
        <v>17.5</v>
      </c>
      <c r="Q133" s="105">
        <f t="shared" si="69"/>
        <v>17.5</v>
      </c>
      <c r="R133" s="397"/>
      <c r="S133" s="49"/>
    </row>
    <row r="134" spans="2:19" hidden="1">
      <c r="B134" s="94" t="s">
        <v>533</v>
      </c>
      <c r="C134" s="52"/>
      <c r="D134" s="60"/>
      <c r="E134" s="49" t="s">
        <v>997</v>
      </c>
      <c r="F134" s="28" t="s">
        <v>998</v>
      </c>
      <c r="H134" s="58">
        <f>H131*H133</f>
        <v>0</v>
      </c>
      <c r="I134" s="58">
        <f t="shared" ref="I134:Q134" si="70">I131*I133</f>
        <v>0</v>
      </c>
      <c r="J134" s="58">
        <f t="shared" si="70"/>
        <v>0</v>
      </c>
      <c r="K134" s="58">
        <f t="shared" si="70"/>
        <v>0</v>
      </c>
      <c r="L134" s="58">
        <f t="shared" si="70"/>
        <v>0</v>
      </c>
      <c r="M134" s="58">
        <f t="shared" si="70"/>
        <v>0</v>
      </c>
      <c r="N134" s="58">
        <f t="shared" si="70"/>
        <v>0</v>
      </c>
      <c r="O134" s="58">
        <f t="shared" si="70"/>
        <v>0</v>
      </c>
      <c r="P134" s="58">
        <f t="shared" si="70"/>
        <v>0</v>
      </c>
      <c r="Q134" s="58">
        <f t="shared" si="70"/>
        <v>0</v>
      </c>
      <c r="R134" s="397"/>
      <c r="S134" s="49"/>
    </row>
    <row r="135" spans="2:19" hidden="1">
      <c r="B135" s="94" t="s">
        <v>533</v>
      </c>
      <c r="C135" s="52"/>
      <c r="D135" s="60"/>
      <c r="E135" s="49" t="s">
        <v>227</v>
      </c>
      <c r="F135" s="28" t="s">
        <v>234</v>
      </c>
      <c r="H135" s="54">
        <f t="shared" ref="H135" si="71">_xlfn.XLOOKUP(H132,Long_haul_concrete_rubble_distances_CS,Long_haul_concrete_rubble_rates_CS)</f>
        <v>0.14590490448343077</v>
      </c>
      <c r="I135" s="54">
        <f t="shared" ref="I135:L135" si="72">_xlfn.XLOOKUP(I132,Long_haul_concrete_rubble_distances_CS,Long_haul_concrete_rubble_rates_CS)</f>
        <v>0.52565650188523994</v>
      </c>
      <c r="J135" s="54">
        <f t="shared" si="72"/>
        <v>0.52565650188523994</v>
      </c>
      <c r="K135" s="54">
        <f t="shared" si="72"/>
        <v>0.52565650188523994</v>
      </c>
      <c r="L135" s="54">
        <f t="shared" si="72"/>
        <v>0.52565650188523994</v>
      </c>
      <c r="M135" s="54">
        <f t="shared" ref="M135:Q135" si="73">_xlfn.XLOOKUP(M132,Long_haul_concrete_rubble_distances_CS,Long_haul_concrete_rubble_rates_CS)</f>
        <v>0.52565650188523994</v>
      </c>
      <c r="N135" s="54">
        <f t="shared" si="73"/>
        <v>0.52565650188523994</v>
      </c>
      <c r="O135" s="54">
        <f t="shared" si="73"/>
        <v>0.52565650188523994</v>
      </c>
      <c r="P135" s="54">
        <f t="shared" si="73"/>
        <v>0.52565650188523994</v>
      </c>
      <c r="Q135" s="54">
        <f t="shared" si="73"/>
        <v>0.52565650188523994</v>
      </c>
      <c r="R135" s="397"/>
      <c r="S135" s="49"/>
    </row>
    <row r="136" spans="2:19" hidden="1">
      <c r="B136" s="94" t="s">
        <v>533</v>
      </c>
      <c r="C136" s="52"/>
      <c r="D136" s="60"/>
      <c r="E136" s="49" t="s">
        <v>229</v>
      </c>
      <c r="H136" s="414"/>
      <c r="I136" s="414"/>
      <c r="J136" s="414"/>
      <c r="K136" s="414"/>
      <c r="L136" s="414"/>
      <c r="M136" s="414"/>
      <c r="N136" s="414"/>
      <c r="O136" s="414"/>
      <c r="P136" s="414"/>
      <c r="Q136" s="414"/>
      <c r="R136" s="397"/>
      <c r="S136" s="49"/>
    </row>
    <row r="137" spans="2:19" hidden="1">
      <c r="B137" s="94" t="s">
        <v>533</v>
      </c>
      <c r="C137" s="56"/>
      <c r="D137" s="60"/>
      <c r="E137" s="49" t="s">
        <v>146</v>
      </c>
      <c r="H137" s="127">
        <f>H134*IF(H136="",H135,H136)</f>
        <v>0</v>
      </c>
      <c r="I137" s="127">
        <f t="shared" ref="I137:L137" si="74">I134*IF(I136="",I135,I136)</f>
        <v>0</v>
      </c>
      <c r="J137" s="127">
        <f t="shared" si="74"/>
        <v>0</v>
      </c>
      <c r="K137" s="127">
        <f t="shared" si="74"/>
        <v>0</v>
      </c>
      <c r="L137" s="127">
        <f t="shared" si="74"/>
        <v>0</v>
      </c>
      <c r="M137" s="127">
        <f t="shared" ref="M137" si="75">M134*IF(M136="",M135,M136)</f>
        <v>0</v>
      </c>
      <c r="N137" s="127">
        <f t="shared" ref="N137" si="76">N134*IF(N136="",N135,N136)</f>
        <v>0</v>
      </c>
      <c r="O137" s="127">
        <f t="shared" ref="O137:P137" si="77">O134*IF(O136="",O135,O136)</f>
        <v>0</v>
      </c>
      <c r="P137" s="127">
        <f t="shared" si="77"/>
        <v>0</v>
      </c>
      <c r="Q137" s="127">
        <f t="shared" ref="Q137" si="78">Q134*IF(Q136="",Q135,Q136)</f>
        <v>0</v>
      </c>
      <c r="R137" s="397"/>
      <c r="S137" s="49"/>
    </row>
    <row r="138" spans="2:19" hidden="1">
      <c r="B138" s="94" t="s">
        <v>533</v>
      </c>
      <c r="C138" s="50" t="s">
        <v>999</v>
      </c>
      <c r="D138" s="60"/>
      <c r="E138" s="49" t="s">
        <v>1000</v>
      </c>
      <c r="F138" s="28" t="s">
        <v>207</v>
      </c>
      <c r="H138" s="54">
        <f t="shared" ref="H138:Q138" si="79">Concrete_rubble_debris_disposal_gate_fee_rate</f>
        <v>80</v>
      </c>
      <c r="I138" s="54">
        <f t="shared" si="79"/>
        <v>80</v>
      </c>
      <c r="J138" s="54">
        <f t="shared" si="79"/>
        <v>80</v>
      </c>
      <c r="K138" s="54">
        <f t="shared" si="79"/>
        <v>80</v>
      </c>
      <c r="L138" s="54">
        <f t="shared" si="79"/>
        <v>80</v>
      </c>
      <c r="M138" s="54">
        <f t="shared" si="79"/>
        <v>80</v>
      </c>
      <c r="N138" s="54">
        <f t="shared" si="79"/>
        <v>80</v>
      </c>
      <c r="O138" s="54">
        <f t="shared" si="79"/>
        <v>80</v>
      </c>
      <c r="P138" s="54">
        <f t="shared" si="79"/>
        <v>80</v>
      </c>
      <c r="Q138" s="54">
        <f t="shared" si="79"/>
        <v>80</v>
      </c>
      <c r="R138" s="397"/>
      <c r="S138" s="49"/>
    </row>
    <row r="139" spans="2:19" hidden="1">
      <c r="B139" s="94" t="s">
        <v>533</v>
      </c>
      <c r="C139" s="52"/>
      <c r="D139" s="60"/>
      <c r="E139" s="49" t="s">
        <v>1001</v>
      </c>
      <c r="F139" s="28" t="s">
        <v>207</v>
      </c>
      <c r="H139" s="414"/>
      <c r="I139" s="414"/>
      <c r="J139" s="414"/>
      <c r="K139" s="414"/>
      <c r="L139" s="414"/>
      <c r="M139" s="414"/>
      <c r="N139" s="414"/>
      <c r="O139" s="414"/>
      <c r="P139" s="414"/>
      <c r="Q139" s="414"/>
      <c r="R139" s="397"/>
      <c r="S139" s="49"/>
    </row>
    <row r="140" spans="2:19" hidden="1">
      <c r="B140" s="94" t="s">
        <v>533</v>
      </c>
      <c r="C140" s="56"/>
      <c r="D140" s="45"/>
      <c r="E140" s="49" t="s">
        <v>146</v>
      </c>
      <c r="H140" s="71">
        <f>H131*IF(H139="",H138,H139)</f>
        <v>0</v>
      </c>
      <c r="I140" s="71">
        <f t="shared" ref="I140:L140" si="80">I131*IF(I139="",I138,I139)</f>
        <v>0</v>
      </c>
      <c r="J140" s="71">
        <f t="shared" si="80"/>
        <v>0</v>
      </c>
      <c r="K140" s="71">
        <f t="shared" si="80"/>
        <v>0</v>
      </c>
      <c r="L140" s="71">
        <f t="shared" si="80"/>
        <v>0</v>
      </c>
      <c r="M140" s="71">
        <f t="shared" ref="M140" si="81">M131*IF(M139="",M138,M139)</f>
        <v>0</v>
      </c>
      <c r="N140" s="71">
        <f t="shared" ref="N140" si="82">N131*IF(N139="",N138,N139)</f>
        <v>0</v>
      </c>
      <c r="O140" s="71">
        <f t="shared" ref="O140:P140" si="83">O131*IF(O139="",O138,O139)</f>
        <v>0</v>
      </c>
      <c r="P140" s="71">
        <f t="shared" si="83"/>
        <v>0</v>
      </c>
      <c r="Q140" s="71">
        <f t="shared" ref="Q140" si="84">Q131*IF(Q139="",Q138,Q139)</f>
        <v>0</v>
      </c>
      <c r="R140" s="397"/>
      <c r="S140" s="49"/>
    </row>
    <row r="141" spans="2:19" hidden="1">
      <c r="B141" s="94" t="s">
        <v>533</v>
      </c>
      <c r="C141" s="158"/>
      <c r="D141" s="66"/>
      <c r="E141" s="67" t="str">
        <f>C125</f>
        <v>Liner remove and dispose</v>
      </c>
      <c r="F141" s="72"/>
      <c r="G141" s="63"/>
      <c r="H141" s="80">
        <f>H129+H137+H140</f>
        <v>0</v>
      </c>
      <c r="I141" s="80">
        <f>I129+I137+I140</f>
        <v>0</v>
      </c>
      <c r="J141" s="80">
        <f t="shared" ref="J141:Q141" si="85">J129+J137+J140</f>
        <v>0</v>
      </c>
      <c r="K141" s="80">
        <f t="shared" si="85"/>
        <v>0</v>
      </c>
      <c r="L141" s="80">
        <f t="shared" si="85"/>
        <v>0</v>
      </c>
      <c r="M141" s="80">
        <f t="shared" si="85"/>
        <v>0</v>
      </c>
      <c r="N141" s="80">
        <f t="shared" si="85"/>
        <v>0</v>
      </c>
      <c r="O141" s="80">
        <f t="shared" si="85"/>
        <v>0</v>
      </c>
      <c r="P141" s="80">
        <f t="shared" si="85"/>
        <v>0</v>
      </c>
      <c r="Q141" s="80">
        <f t="shared" si="85"/>
        <v>0</v>
      </c>
      <c r="R141" s="397"/>
      <c r="S141" s="49"/>
    </row>
    <row r="142" spans="2:19" hidden="1">
      <c r="B142" s="94" t="s">
        <v>533</v>
      </c>
      <c r="C142" s="159" t="s">
        <v>296</v>
      </c>
      <c r="D142" s="88" t="str">
        <f t="shared" ref="D142" si="86">Growth_media</f>
        <v>Growth media</v>
      </c>
      <c r="E142" s="49" t="s">
        <v>1002</v>
      </c>
      <c r="F142" s="28" t="s">
        <v>211</v>
      </c>
      <c r="H142" s="70">
        <f t="shared" ref="H142:Q142" si="87">Dam_buffer_around_crest_for_grade_and_seed</f>
        <v>10</v>
      </c>
      <c r="I142" s="70">
        <f t="shared" si="87"/>
        <v>10</v>
      </c>
      <c r="J142" s="70">
        <f t="shared" si="87"/>
        <v>10</v>
      </c>
      <c r="K142" s="70">
        <f t="shared" si="87"/>
        <v>10</v>
      </c>
      <c r="L142" s="70">
        <f t="shared" si="87"/>
        <v>10</v>
      </c>
      <c r="M142" s="70">
        <f t="shared" si="87"/>
        <v>10</v>
      </c>
      <c r="N142" s="70">
        <f t="shared" si="87"/>
        <v>10</v>
      </c>
      <c r="O142" s="70">
        <f t="shared" si="87"/>
        <v>10</v>
      </c>
      <c r="P142" s="70">
        <f t="shared" si="87"/>
        <v>10</v>
      </c>
      <c r="Q142" s="70">
        <f t="shared" si="87"/>
        <v>10</v>
      </c>
      <c r="R142" s="397"/>
      <c r="S142" s="49"/>
    </row>
    <row r="143" spans="2:19" hidden="1">
      <c r="B143" s="94" t="s">
        <v>533</v>
      </c>
      <c r="C143" s="52"/>
      <c r="D143" s="89"/>
      <c r="E143" s="49" t="s">
        <v>623</v>
      </c>
      <c r="F143" s="28" t="s">
        <v>299</v>
      </c>
      <c r="H143" s="70">
        <f t="shared" ref="H143:Q143" si="88">(H99*H142)/Conv_sqm_ha+H101</f>
        <v>0</v>
      </c>
      <c r="I143" s="70">
        <f t="shared" si="88"/>
        <v>0</v>
      </c>
      <c r="J143" s="70">
        <f t="shared" si="88"/>
        <v>0</v>
      </c>
      <c r="K143" s="70">
        <f t="shared" si="88"/>
        <v>0</v>
      </c>
      <c r="L143" s="70">
        <f t="shared" si="88"/>
        <v>0</v>
      </c>
      <c r="M143" s="70">
        <f t="shared" si="88"/>
        <v>0</v>
      </c>
      <c r="N143" s="70">
        <f t="shared" si="88"/>
        <v>0</v>
      </c>
      <c r="O143" s="70">
        <f t="shared" si="88"/>
        <v>0</v>
      </c>
      <c r="P143" s="70">
        <f t="shared" si="88"/>
        <v>0</v>
      </c>
      <c r="Q143" s="70">
        <f t="shared" si="88"/>
        <v>0</v>
      </c>
      <c r="R143" s="397"/>
      <c r="S143" s="55"/>
    </row>
    <row r="144" spans="2:19" hidden="1">
      <c r="B144" s="94" t="s">
        <v>533</v>
      </c>
      <c r="C144" s="52"/>
      <c r="D144" s="89"/>
      <c r="E144" s="49" t="s">
        <v>624</v>
      </c>
      <c r="F144" s="28" t="s">
        <v>299</v>
      </c>
      <c r="H144" s="515"/>
      <c r="I144" s="515"/>
      <c r="J144" s="515"/>
      <c r="K144" s="515"/>
      <c r="L144" s="515"/>
      <c r="M144" s="515"/>
      <c r="N144" s="515"/>
      <c r="O144" s="515"/>
      <c r="P144" s="515"/>
      <c r="Q144" s="515"/>
      <c r="R144" s="397"/>
      <c r="S144" s="49"/>
    </row>
    <row r="145" spans="2:19" hidden="1">
      <c r="B145" s="94" t="s">
        <v>533</v>
      </c>
      <c r="C145" s="52"/>
      <c r="D145" s="89"/>
      <c r="E145" s="49" t="s">
        <v>625</v>
      </c>
      <c r="F145" s="28" t="s">
        <v>299</v>
      </c>
      <c r="H145" s="70">
        <f t="shared" ref="H145:Q145" si="89">IF(H144="",H143,H144)</f>
        <v>0</v>
      </c>
      <c r="I145" s="70">
        <f t="shared" si="89"/>
        <v>0</v>
      </c>
      <c r="J145" s="70">
        <f t="shared" si="89"/>
        <v>0</v>
      </c>
      <c r="K145" s="70">
        <f t="shared" si="89"/>
        <v>0</v>
      </c>
      <c r="L145" s="70">
        <f t="shared" si="89"/>
        <v>0</v>
      </c>
      <c r="M145" s="70">
        <f t="shared" si="89"/>
        <v>0</v>
      </c>
      <c r="N145" s="70">
        <f t="shared" si="89"/>
        <v>0</v>
      </c>
      <c r="O145" s="70">
        <f t="shared" si="89"/>
        <v>0</v>
      </c>
      <c r="P145" s="70">
        <f t="shared" si="89"/>
        <v>0</v>
      </c>
      <c r="Q145" s="70">
        <f t="shared" si="89"/>
        <v>0</v>
      </c>
      <c r="R145" s="397"/>
      <c r="S145" s="55"/>
    </row>
    <row r="146" spans="2:19" hidden="1">
      <c r="B146" s="94" t="s">
        <v>533</v>
      </c>
      <c r="C146" s="52"/>
      <c r="D146" s="89"/>
      <c r="E146" s="49" t="s">
        <v>304</v>
      </c>
      <c r="F146" s="28" t="s">
        <v>211</v>
      </c>
      <c r="H146" s="70">
        <f t="shared" ref="H146:Q146" si="90">Haul_roads_track_rail_growth_media_thickness/Conv_mm_in_metres</f>
        <v>0.15</v>
      </c>
      <c r="I146" s="70">
        <f t="shared" si="90"/>
        <v>0.15</v>
      </c>
      <c r="J146" s="70">
        <f t="shared" si="90"/>
        <v>0.15</v>
      </c>
      <c r="K146" s="70">
        <f t="shared" si="90"/>
        <v>0.15</v>
      </c>
      <c r="L146" s="70">
        <f t="shared" si="90"/>
        <v>0.15</v>
      </c>
      <c r="M146" s="70">
        <f t="shared" si="90"/>
        <v>0.15</v>
      </c>
      <c r="N146" s="70">
        <f t="shared" si="90"/>
        <v>0.15</v>
      </c>
      <c r="O146" s="70">
        <f t="shared" si="90"/>
        <v>0.15</v>
      </c>
      <c r="P146" s="70">
        <f t="shared" si="90"/>
        <v>0.15</v>
      </c>
      <c r="Q146" s="70">
        <f t="shared" si="90"/>
        <v>0.15</v>
      </c>
      <c r="R146" s="397"/>
      <c r="S146" s="49"/>
    </row>
    <row r="147" spans="2:19" hidden="1">
      <c r="B147" s="94" t="s">
        <v>533</v>
      </c>
      <c r="C147" s="52"/>
      <c r="D147" s="89"/>
      <c r="E147" s="49" t="s">
        <v>305</v>
      </c>
      <c r="F147" s="28" t="s">
        <v>211</v>
      </c>
      <c r="H147" s="411"/>
      <c r="I147" s="411"/>
      <c r="J147" s="411"/>
      <c r="K147" s="411"/>
      <c r="L147" s="411"/>
      <c r="M147" s="411"/>
      <c r="N147" s="411"/>
      <c r="O147" s="411"/>
      <c r="P147" s="411"/>
      <c r="Q147" s="411"/>
      <c r="R147" s="397"/>
      <c r="S147" s="49"/>
    </row>
    <row r="148" spans="2:19" hidden="1">
      <c r="B148" s="94" t="s">
        <v>533</v>
      </c>
      <c r="C148" s="52"/>
      <c r="D148" s="89"/>
      <c r="E148" s="49" t="s">
        <v>306</v>
      </c>
      <c r="F148" s="28" t="s">
        <v>211</v>
      </c>
      <c r="H148" s="70">
        <f>IF(H147="",H146,H147)</f>
        <v>0.15</v>
      </c>
      <c r="I148" s="70">
        <f t="shared" ref="I148:Q148" si="91">IF(I147="",I146,I147)</f>
        <v>0.15</v>
      </c>
      <c r="J148" s="70">
        <f t="shared" si="91"/>
        <v>0.15</v>
      </c>
      <c r="K148" s="70">
        <f t="shared" si="91"/>
        <v>0.15</v>
      </c>
      <c r="L148" s="70">
        <f t="shared" si="91"/>
        <v>0.15</v>
      </c>
      <c r="M148" s="70">
        <f t="shared" si="91"/>
        <v>0.15</v>
      </c>
      <c r="N148" s="70">
        <f t="shared" si="91"/>
        <v>0.15</v>
      </c>
      <c r="O148" s="70">
        <f t="shared" si="91"/>
        <v>0.15</v>
      </c>
      <c r="P148" s="70">
        <f t="shared" si="91"/>
        <v>0.15</v>
      </c>
      <c r="Q148" s="70">
        <f t="shared" si="91"/>
        <v>0.15</v>
      </c>
      <c r="R148" s="397"/>
      <c r="S148" s="49"/>
    </row>
    <row r="149" spans="2:19" hidden="1">
      <c r="B149" s="94" t="s">
        <v>533</v>
      </c>
      <c r="C149" s="52"/>
      <c r="D149" s="89"/>
      <c r="E149" s="49" t="s">
        <v>307</v>
      </c>
      <c r="F149" s="28" t="s">
        <v>219</v>
      </c>
      <c r="H149" s="58">
        <f t="shared" ref="H149:Q149" si="92">H145*Conv_sqm_ha*H148</f>
        <v>0</v>
      </c>
      <c r="I149" s="58">
        <f t="shared" si="92"/>
        <v>0</v>
      </c>
      <c r="J149" s="58">
        <f t="shared" si="92"/>
        <v>0</v>
      </c>
      <c r="K149" s="58">
        <f t="shared" si="92"/>
        <v>0</v>
      </c>
      <c r="L149" s="58">
        <f t="shared" si="92"/>
        <v>0</v>
      </c>
      <c r="M149" s="58">
        <f t="shared" si="92"/>
        <v>0</v>
      </c>
      <c r="N149" s="58">
        <f t="shared" si="92"/>
        <v>0</v>
      </c>
      <c r="O149" s="58">
        <f t="shared" si="92"/>
        <v>0</v>
      </c>
      <c r="P149" s="58">
        <f t="shared" si="92"/>
        <v>0</v>
      </c>
      <c r="Q149" s="58">
        <f t="shared" si="92"/>
        <v>0</v>
      </c>
      <c r="R149" s="397"/>
      <c r="S149" s="55"/>
    </row>
    <row r="150" spans="2:19" hidden="1">
      <c r="B150" s="94" t="s">
        <v>533</v>
      </c>
      <c r="C150" s="52"/>
      <c r="D150" s="89"/>
      <c r="E150" s="49" t="s">
        <v>539</v>
      </c>
      <c r="F150" s="28" t="s">
        <v>219</v>
      </c>
      <c r="H150" s="463"/>
      <c r="I150" s="463"/>
      <c r="J150" s="463"/>
      <c r="K150" s="463"/>
      <c r="L150" s="463"/>
      <c r="M150" s="463"/>
      <c r="N150" s="463"/>
      <c r="O150" s="463"/>
      <c r="P150" s="463"/>
      <c r="Q150" s="463"/>
      <c r="R150" s="397"/>
      <c r="S150" s="55"/>
    </row>
    <row r="151" spans="2:19" hidden="1">
      <c r="B151" s="94" t="s">
        <v>533</v>
      </c>
      <c r="C151" s="52"/>
      <c r="D151" s="89"/>
      <c r="E151" s="49" t="s">
        <v>540</v>
      </c>
      <c r="F151" s="28" t="s">
        <v>219</v>
      </c>
      <c r="H151" s="58">
        <f>H149-H150</f>
        <v>0</v>
      </c>
      <c r="I151" s="58">
        <f t="shared" ref="I151:Q151" si="93">I149-I150</f>
        <v>0</v>
      </c>
      <c r="J151" s="58">
        <f t="shared" si="93"/>
        <v>0</v>
      </c>
      <c r="K151" s="58">
        <f t="shared" si="93"/>
        <v>0</v>
      </c>
      <c r="L151" s="58">
        <f t="shared" si="93"/>
        <v>0</v>
      </c>
      <c r="M151" s="58">
        <f t="shared" si="93"/>
        <v>0</v>
      </c>
      <c r="N151" s="58">
        <f t="shared" si="93"/>
        <v>0</v>
      </c>
      <c r="O151" s="58">
        <f t="shared" si="93"/>
        <v>0</v>
      </c>
      <c r="P151" s="58">
        <f t="shared" si="93"/>
        <v>0</v>
      </c>
      <c r="Q151" s="58">
        <f t="shared" si="93"/>
        <v>0</v>
      </c>
      <c r="R151" s="397"/>
      <c r="S151" s="55"/>
    </row>
    <row r="152" spans="2:19" hidden="1">
      <c r="B152" s="94" t="s">
        <v>533</v>
      </c>
      <c r="C152" s="50" t="s">
        <v>541</v>
      </c>
      <c r="D152" s="88" t="s">
        <v>542</v>
      </c>
      <c r="E152" s="49" t="s">
        <v>543</v>
      </c>
      <c r="F152" s="28" t="s">
        <v>123</v>
      </c>
      <c r="G152" s="42" t="s">
        <v>123</v>
      </c>
      <c r="H152" s="412" t="s">
        <v>545</v>
      </c>
      <c r="I152" s="412" t="s">
        <v>545</v>
      </c>
      <c r="J152" s="412" t="s">
        <v>545</v>
      </c>
      <c r="K152" s="412" t="s">
        <v>545</v>
      </c>
      <c r="L152" s="412" t="s">
        <v>545</v>
      </c>
      <c r="M152" s="412" t="s">
        <v>545</v>
      </c>
      <c r="N152" s="412" t="s">
        <v>545</v>
      </c>
      <c r="O152" s="412" t="s">
        <v>545</v>
      </c>
      <c r="P152" s="412" t="s">
        <v>545</v>
      </c>
      <c r="Q152" s="412" t="s">
        <v>545</v>
      </c>
      <c r="R152" s="397"/>
      <c r="S152" s="55"/>
    </row>
    <row r="153" spans="2:19" hidden="1">
      <c r="B153" s="94" t="s">
        <v>533</v>
      </c>
      <c r="C153" s="52"/>
      <c r="D153" s="89"/>
      <c r="E153" s="49" t="s">
        <v>546</v>
      </c>
      <c r="F153" s="28" t="s">
        <v>253</v>
      </c>
      <c r="H153" s="54">
        <f t="shared" ref="H153:Q153" si="94">_xlfn.XLOOKUP(H152,Long_haul_soil_amend_names_volume_CS,Long_haul_soil_amend_rates_volume_CS)</f>
        <v>0.22675068293571296</v>
      </c>
      <c r="I153" s="54">
        <f t="shared" si="94"/>
        <v>0.22675068293571296</v>
      </c>
      <c r="J153" s="54">
        <f t="shared" si="94"/>
        <v>0.22675068293571296</v>
      </c>
      <c r="K153" s="54">
        <f t="shared" si="94"/>
        <v>0.22675068293571296</v>
      </c>
      <c r="L153" s="54">
        <f t="shared" si="94"/>
        <v>0.22675068293571296</v>
      </c>
      <c r="M153" s="54">
        <f t="shared" si="94"/>
        <v>0.22675068293571296</v>
      </c>
      <c r="N153" s="54">
        <f t="shared" si="94"/>
        <v>0.22675068293571296</v>
      </c>
      <c r="O153" s="54">
        <f t="shared" si="94"/>
        <v>0.22675068293571296</v>
      </c>
      <c r="P153" s="54">
        <f t="shared" si="94"/>
        <v>0.22675068293571296</v>
      </c>
      <c r="Q153" s="54">
        <f t="shared" si="94"/>
        <v>0.22675068293571296</v>
      </c>
      <c r="R153" s="397"/>
      <c r="S153" s="55"/>
    </row>
    <row r="154" spans="2:19" hidden="1">
      <c r="B154" s="94" t="s">
        <v>533</v>
      </c>
      <c r="C154" s="52"/>
      <c r="D154" s="89"/>
      <c r="E154" s="27" t="s">
        <v>547</v>
      </c>
      <c r="F154" s="28" t="s">
        <v>253</v>
      </c>
      <c r="H154" s="414"/>
      <c r="I154" s="414"/>
      <c r="J154" s="414"/>
      <c r="K154" s="414"/>
      <c r="L154" s="414"/>
      <c r="M154" s="414"/>
      <c r="N154" s="414"/>
      <c r="O154" s="414"/>
      <c r="P154" s="414"/>
      <c r="Q154" s="414"/>
      <c r="R154" s="397"/>
      <c r="S154" s="55"/>
    </row>
    <row r="155" spans="2:19" hidden="1">
      <c r="B155" s="94" t="s">
        <v>533</v>
      </c>
      <c r="C155" s="52"/>
      <c r="D155" s="89"/>
      <c r="E155" s="49" t="s">
        <v>548</v>
      </c>
      <c r="F155" s="28" t="s">
        <v>207</v>
      </c>
      <c r="H155" s="71">
        <f t="shared" ref="H155:Q155" si="95">IF(H154="",H153,H154)*H151*_xlfn.XLOOKUP(H152,Long_haul_distance_names_L,Long_haul_distances_average_L)</f>
        <v>0</v>
      </c>
      <c r="I155" s="71">
        <f t="shared" si="95"/>
        <v>0</v>
      </c>
      <c r="J155" s="71">
        <f t="shared" si="95"/>
        <v>0</v>
      </c>
      <c r="K155" s="71">
        <f t="shared" si="95"/>
        <v>0</v>
      </c>
      <c r="L155" s="71">
        <f t="shared" si="95"/>
        <v>0</v>
      </c>
      <c r="M155" s="71">
        <f t="shared" si="95"/>
        <v>0</v>
      </c>
      <c r="N155" s="71">
        <f t="shared" si="95"/>
        <v>0</v>
      </c>
      <c r="O155" s="71">
        <f t="shared" si="95"/>
        <v>0</v>
      </c>
      <c r="P155" s="71">
        <f t="shared" si="95"/>
        <v>0</v>
      </c>
      <c r="Q155" s="71">
        <f t="shared" si="95"/>
        <v>0</v>
      </c>
      <c r="R155" s="397"/>
      <c r="S155" s="55"/>
    </row>
    <row r="156" spans="2:19" hidden="1">
      <c r="B156" s="94" t="s">
        <v>533</v>
      </c>
      <c r="C156" s="52"/>
      <c r="D156" s="89"/>
      <c r="E156" s="49" t="s">
        <v>311</v>
      </c>
      <c r="F156" s="28" t="s">
        <v>123</v>
      </c>
      <c r="G156" s="42" t="s">
        <v>123</v>
      </c>
      <c r="H156" s="412" t="s">
        <v>549</v>
      </c>
      <c r="I156" s="412" t="s">
        <v>550</v>
      </c>
      <c r="J156" s="412" t="s">
        <v>549</v>
      </c>
      <c r="K156" s="412" t="s">
        <v>549</v>
      </c>
      <c r="L156" s="412" t="s">
        <v>549</v>
      </c>
      <c r="M156" s="412" t="s">
        <v>549</v>
      </c>
      <c r="N156" s="412" t="s">
        <v>549</v>
      </c>
      <c r="O156" s="412" t="s">
        <v>549</v>
      </c>
      <c r="P156" s="412" t="s">
        <v>549</v>
      </c>
      <c r="Q156" s="412" t="s">
        <v>549</v>
      </c>
      <c r="R156" s="397"/>
      <c r="S156" s="55"/>
    </row>
    <row r="157" spans="2:19" hidden="1">
      <c r="B157" s="94" t="s">
        <v>533</v>
      </c>
      <c r="C157" s="52"/>
      <c r="D157" s="89"/>
      <c r="E157" s="49" t="s">
        <v>551</v>
      </c>
      <c r="F157" s="28" t="s">
        <v>241</v>
      </c>
      <c r="H157" s="54">
        <f t="shared" ref="H157:Q157" si="96">IF(H156=Growth_media,Growth_media_purchase_rate*Growth_media_soil_density,VENM_backfill_buy_R)</f>
        <v>128.79999999999998</v>
      </c>
      <c r="I157" s="54">
        <f t="shared" si="96"/>
        <v>76.490890000000007</v>
      </c>
      <c r="J157" s="54">
        <f t="shared" si="96"/>
        <v>128.79999999999998</v>
      </c>
      <c r="K157" s="54">
        <f t="shared" si="96"/>
        <v>128.79999999999998</v>
      </c>
      <c r="L157" s="54">
        <f t="shared" si="96"/>
        <v>128.79999999999998</v>
      </c>
      <c r="M157" s="54">
        <f t="shared" si="96"/>
        <v>128.79999999999998</v>
      </c>
      <c r="N157" s="54">
        <f t="shared" si="96"/>
        <v>128.79999999999998</v>
      </c>
      <c r="O157" s="54">
        <f t="shared" si="96"/>
        <v>128.79999999999998</v>
      </c>
      <c r="P157" s="54">
        <f t="shared" si="96"/>
        <v>128.79999999999998</v>
      </c>
      <c r="Q157" s="54">
        <f t="shared" si="96"/>
        <v>128.79999999999998</v>
      </c>
      <c r="R157" s="397"/>
      <c r="S157" s="55"/>
    </row>
    <row r="158" spans="2:19" hidden="1">
      <c r="B158" s="94" t="s">
        <v>533</v>
      </c>
      <c r="C158" s="52"/>
      <c r="D158" s="89"/>
      <c r="E158" s="27" t="s">
        <v>552</v>
      </c>
      <c r="F158" s="28" t="s">
        <v>241</v>
      </c>
      <c r="H158" s="414"/>
      <c r="I158" s="414"/>
      <c r="J158" s="414"/>
      <c r="K158" s="414"/>
      <c r="L158" s="414"/>
      <c r="M158" s="414"/>
      <c r="N158" s="414"/>
      <c r="O158" s="414"/>
      <c r="P158" s="414"/>
      <c r="Q158" s="414"/>
      <c r="R158" s="397"/>
      <c r="S158" s="49"/>
    </row>
    <row r="159" spans="2:19" hidden="1">
      <c r="B159" s="94" t="s">
        <v>533</v>
      </c>
      <c r="C159" s="52"/>
      <c r="D159" s="89"/>
      <c r="E159" s="49" t="s">
        <v>548</v>
      </c>
      <c r="F159" s="28" t="s">
        <v>207</v>
      </c>
      <c r="H159" s="71">
        <f>IF(H158="",H157,H158)*H151</f>
        <v>0</v>
      </c>
      <c r="I159" s="71">
        <f t="shared" ref="I159:Q159" si="97">IF(I158="",I157,I158)*I151</f>
        <v>0</v>
      </c>
      <c r="J159" s="71">
        <f t="shared" si="97"/>
        <v>0</v>
      </c>
      <c r="K159" s="71">
        <f t="shared" si="97"/>
        <v>0</v>
      </c>
      <c r="L159" s="71">
        <f t="shared" si="97"/>
        <v>0</v>
      </c>
      <c r="M159" s="71">
        <f t="shared" si="97"/>
        <v>0</v>
      </c>
      <c r="N159" s="71">
        <f t="shared" si="97"/>
        <v>0</v>
      </c>
      <c r="O159" s="71">
        <f t="shared" si="97"/>
        <v>0</v>
      </c>
      <c r="P159" s="71">
        <f t="shared" si="97"/>
        <v>0</v>
      </c>
      <c r="Q159" s="71">
        <f t="shared" si="97"/>
        <v>0</v>
      </c>
      <c r="R159" s="397"/>
      <c r="S159" s="55"/>
    </row>
    <row r="160" spans="2:19" ht="33.75" hidden="1">
      <c r="B160" s="94" t="s">
        <v>533</v>
      </c>
      <c r="C160" s="50" t="s">
        <v>541</v>
      </c>
      <c r="D160" s="88" t="s">
        <v>553</v>
      </c>
      <c r="E160" s="82" t="s">
        <v>554</v>
      </c>
      <c r="F160" s="28" t="s">
        <v>123</v>
      </c>
      <c r="G160" s="42" t="s">
        <v>123</v>
      </c>
      <c r="H160" s="461" t="s">
        <v>555</v>
      </c>
      <c r="I160" s="461" t="s">
        <v>555</v>
      </c>
      <c r="J160" s="461" t="s">
        <v>555</v>
      </c>
      <c r="K160" s="461" t="s">
        <v>555</v>
      </c>
      <c r="L160" s="461" t="s">
        <v>555</v>
      </c>
      <c r="M160" s="461" t="s">
        <v>555</v>
      </c>
      <c r="N160" s="461" t="s">
        <v>555</v>
      </c>
      <c r="O160" s="461" t="s">
        <v>555</v>
      </c>
      <c r="P160" s="461" t="s">
        <v>555</v>
      </c>
      <c r="Q160" s="461" t="s">
        <v>555</v>
      </c>
      <c r="R160" s="397"/>
      <c r="S160" s="49"/>
    </row>
    <row r="161" spans="2:19" hidden="1">
      <c r="B161" s="94" t="s">
        <v>533</v>
      </c>
      <c r="C161" s="52"/>
      <c r="D161" s="89"/>
      <c r="E161" s="49" t="s">
        <v>227</v>
      </c>
      <c r="F161" s="28" t="s">
        <v>241</v>
      </c>
      <c r="H161" s="54">
        <f t="shared" ref="H161:Q161" si="98">_xlfn.XLOOKUP(H160,Load_haul_soil_names_CS,Load_haul_soil_rates_CS)</f>
        <v>5.5737090155748836</v>
      </c>
      <c r="I161" s="54">
        <f t="shared" si="98"/>
        <v>5.5737090155748836</v>
      </c>
      <c r="J161" s="54">
        <f t="shared" si="98"/>
        <v>5.5737090155748836</v>
      </c>
      <c r="K161" s="54">
        <f t="shared" si="98"/>
        <v>5.5737090155748836</v>
      </c>
      <c r="L161" s="54">
        <f t="shared" si="98"/>
        <v>5.5737090155748836</v>
      </c>
      <c r="M161" s="54">
        <f t="shared" si="98"/>
        <v>5.5737090155748836</v>
      </c>
      <c r="N161" s="54">
        <f t="shared" si="98"/>
        <v>5.5737090155748836</v>
      </c>
      <c r="O161" s="54">
        <f t="shared" si="98"/>
        <v>5.5737090155748836</v>
      </c>
      <c r="P161" s="54">
        <f t="shared" si="98"/>
        <v>5.5737090155748836</v>
      </c>
      <c r="Q161" s="54">
        <f t="shared" si="98"/>
        <v>5.5737090155748836</v>
      </c>
      <c r="R161" s="397"/>
      <c r="S161" s="55"/>
    </row>
    <row r="162" spans="2:19" hidden="1">
      <c r="B162" s="94" t="s">
        <v>533</v>
      </c>
      <c r="C162" s="52"/>
      <c r="D162" s="89"/>
      <c r="E162" s="55" t="s">
        <v>229</v>
      </c>
      <c r="F162" s="28" t="s">
        <v>241</v>
      </c>
      <c r="G162" s="42"/>
      <c r="H162" s="414"/>
      <c r="I162" s="414"/>
      <c r="J162" s="414"/>
      <c r="K162" s="414"/>
      <c r="L162" s="414"/>
      <c r="M162" s="414"/>
      <c r="N162" s="414"/>
      <c r="O162" s="414"/>
      <c r="P162" s="414"/>
      <c r="Q162" s="414"/>
      <c r="R162" s="397"/>
      <c r="S162" s="49"/>
    </row>
    <row r="163" spans="2:19" hidden="1">
      <c r="B163" s="94" t="s">
        <v>533</v>
      </c>
      <c r="C163" s="52"/>
      <c r="D163" s="89"/>
      <c r="E163" s="49" t="s">
        <v>146</v>
      </c>
      <c r="F163" s="28" t="s">
        <v>207</v>
      </c>
      <c r="H163" s="127">
        <f t="shared" ref="H163:Q163" si="99">IF(H162="",H161,H162)*H149</f>
        <v>0</v>
      </c>
      <c r="I163" s="127">
        <f t="shared" si="99"/>
        <v>0</v>
      </c>
      <c r="J163" s="127">
        <f t="shared" si="99"/>
        <v>0</v>
      </c>
      <c r="K163" s="127">
        <f t="shared" si="99"/>
        <v>0</v>
      </c>
      <c r="L163" s="127">
        <f t="shared" si="99"/>
        <v>0</v>
      </c>
      <c r="M163" s="127">
        <f t="shared" si="99"/>
        <v>0</v>
      </c>
      <c r="N163" s="127">
        <f t="shared" si="99"/>
        <v>0</v>
      </c>
      <c r="O163" s="127">
        <f t="shared" si="99"/>
        <v>0</v>
      </c>
      <c r="P163" s="127">
        <f t="shared" si="99"/>
        <v>0</v>
      </c>
      <c r="Q163" s="127">
        <f t="shared" si="99"/>
        <v>0</v>
      </c>
      <c r="R163" s="397"/>
      <c r="S163" s="49"/>
    </row>
    <row r="164" spans="2:19" hidden="1">
      <c r="B164" s="94" t="s">
        <v>533</v>
      </c>
      <c r="C164" s="158"/>
      <c r="D164" s="66"/>
      <c r="E164" s="67" t="str">
        <f>C142</f>
        <v>Source and apply growth media</v>
      </c>
      <c r="F164" s="72"/>
      <c r="G164" s="63"/>
      <c r="H164" s="80">
        <f>H155+H159+H163</f>
        <v>0</v>
      </c>
      <c r="I164" s="80">
        <f t="shared" ref="I164:Q164" si="100">I155+I159+I163</f>
        <v>0</v>
      </c>
      <c r="J164" s="80">
        <f t="shared" si="100"/>
        <v>0</v>
      </c>
      <c r="K164" s="80">
        <f t="shared" si="100"/>
        <v>0</v>
      </c>
      <c r="L164" s="80">
        <f t="shared" si="100"/>
        <v>0</v>
      </c>
      <c r="M164" s="80">
        <f t="shared" si="100"/>
        <v>0</v>
      </c>
      <c r="N164" s="80">
        <f t="shared" si="100"/>
        <v>0</v>
      </c>
      <c r="O164" s="80">
        <f t="shared" si="100"/>
        <v>0</v>
      </c>
      <c r="P164" s="80">
        <f t="shared" si="100"/>
        <v>0</v>
      </c>
      <c r="Q164" s="80">
        <f t="shared" si="100"/>
        <v>0</v>
      </c>
      <c r="R164" s="397"/>
      <c r="S164" s="49"/>
    </row>
    <row r="165" spans="2:19" hidden="1">
      <c r="B165" s="94" t="s">
        <v>533</v>
      </c>
      <c r="C165" s="159" t="s">
        <v>310</v>
      </c>
      <c r="D165" s="88" t="str">
        <f t="shared" ref="D165" si="101">Ameliorants</f>
        <v>Ameliorants</v>
      </c>
      <c r="E165" s="49" t="s">
        <v>623</v>
      </c>
      <c r="F165" s="28" t="s">
        <v>299</v>
      </c>
      <c r="H165" s="78">
        <f>H143</f>
        <v>0</v>
      </c>
      <c r="I165" s="78">
        <f t="shared" ref="I165:Q165" si="102">I143</f>
        <v>0</v>
      </c>
      <c r="J165" s="78">
        <f t="shared" si="102"/>
        <v>0</v>
      </c>
      <c r="K165" s="78">
        <f t="shared" si="102"/>
        <v>0</v>
      </c>
      <c r="L165" s="78">
        <f t="shared" si="102"/>
        <v>0</v>
      </c>
      <c r="M165" s="78">
        <f t="shared" si="102"/>
        <v>0</v>
      </c>
      <c r="N165" s="78">
        <f t="shared" si="102"/>
        <v>0</v>
      </c>
      <c r="O165" s="78">
        <f t="shared" si="102"/>
        <v>0</v>
      </c>
      <c r="P165" s="78">
        <f t="shared" si="102"/>
        <v>0</v>
      </c>
      <c r="Q165" s="78">
        <f t="shared" si="102"/>
        <v>0</v>
      </c>
      <c r="R165" s="397"/>
      <c r="S165" s="49"/>
    </row>
    <row r="166" spans="2:19" hidden="1">
      <c r="B166" s="94" t="s">
        <v>533</v>
      </c>
      <c r="C166" s="52"/>
      <c r="D166" s="89"/>
      <c r="E166" s="49" t="s">
        <v>624</v>
      </c>
      <c r="F166" s="28" t="s">
        <v>299</v>
      </c>
      <c r="H166" s="563">
        <v>0</v>
      </c>
      <c r="I166" s="563"/>
      <c r="J166" s="563"/>
      <c r="K166" s="563"/>
      <c r="L166" s="563"/>
      <c r="M166" s="563"/>
      <c r="N166" s="563"/>
      <c r="O166" s="563"/>
      <c r="P166" s="563"/>
      <c r="Q166" s="563"/>
      <c r="R166" s="397"/>
      <c r="S166" s="49"/>
    </row>
    <row r="167" spans="2:19" hidden="1">
      <c r="B167" s="94" t="s">
        <v>533</v>
      </c>
      <c r="C167" s="52"/>
      <c r="D167" s="89"/>
      <c r="E167" s="49" t="s">
        <v>625</v>
      </c>
      <c r="F167" s="28" t="s">
        <v>299</v>
      </c>
      <c r="H167" s="78">
        <f>IF(H166="",H165,H166)</f>
        <v>0</v>
      </c>
      <c r="I167" s="78">
        <f t="shared" ref="I167:Q167" si="103">IF(I166="",I165,I166)</f>
        <v>0</v>
      </c>
      <c r="J167" s="78">
        <f t="shared" si="103"/>
        <v>0</v>
      </c>
      <c r="K167" s="78">
        <f t="shared" si="103"/>
        <v>0</v>
      </c>
      <c r="L167" s="78">
        <f t="shared" si="103"/>
        <v>0</v>
      </c>
      <c r="M167" s="78">
        <f t="shared" si="103"/>
        <v>0</v>
      </c>
      <c r="N167" s="78">
        <f t="shared" si="103"/>
        <v>0</v>
      </c>
      <c r="O167" s="78">
        <f t="shared" si="103"/>
        <v>0</v>
      </c>
      <c r="P167" s="78">
        <f t="shared" si="103"/>
        <v>0</v>
      </c>
      <c r="Q167" s="78">
        <f t="shared" si="103"/>
        <v>0</v>
      </c>
      <c r="R167" s="397"/>
      <c r="S167" s="49"/>
    </row>
    <row r="168" spans="2:19" hidden="1">
      <c r="B168" s="94" t="s">
        <v>533</v>
      </c>
      <c r="C168" s="52"/>
      <c r="D168" s="89"/>
      <c r="E168" s="49" t="s">
        <v>311</v>
      </c>
      <c r="F168" s="28" t="s">
        <v>123</v>
      </c>
      <c r="G168" s="42" t="s">
        <v>123</v>
      </c>
      <c r="H168" s="503" t="s">
        <v>312</v>
      </c>
      <c r="I168" s="503" t="s">
        <v>312</v>
      </c>
      <c r="J168" s="503" t="s">
        <v>312</v>
      </c>
      <c r="K168" s="503" t="s">
        <v>312</v>
      </c>
      <c r="L168" s="503" t="s">
        <v>312</v>
      </c>
      <c r="M168" s="503" t="s">
        <v>312</v>
      </c>
      <c r="N168" s="503" t="s">
        <v>312</v>
      </c>
      <c r="O168" s="503" t="s">
        <v>312</v>
      </c>
      <c r="P168" s="503" t="s">
        <v>312</v>
      </c>
      <c r="Q168" s="503" t="s">
        <v>312</v>
      </c>
      <c r="R168" s="397"/>
      <c r="S168" s="49"/>
    </row>
    <row r="169" spans="2:19" hidden="1">
      <c r="B169" s="94" t="s">
        <v>533</v>
      </c>
      <c r="C169" s="52"/>
      <c r="D169" s="89"/>
      <c r="E169" s="49" t="s">
        <v>320</v>
      </c>
      <c r="F169" s="28" t="s">
        <v>321</v>
      </c>
      <c r="H169" s="78">
        <f>_xlfn.XLOOKUP(H168,'Assumptions - General'!$B$5:$B$14,'Assumptions - General'!$C$5:$C$14)</f>
        <v>2.5</v>
      </c>
      <c r="I169" s="78">
        <f>_xlfn.XLOOKUP(I168,'Assumptions - General'!$B$5:$B$14,'Assumptions - General'!$C$5:$C$14)</f>
        <v>2.5</v>
      </c>
      <c r="J169" s="78">
        <f>_xlfn.XLOOKUP(J168,'Assumptions - General'!$B$5:$B$14,'Assumptions - General'!$C$5:$C$14)</f>
        <v>2.5</v>
      </c>
      <c r="K169" s="78">
        <f>_xlfn.XLOOKUP(K168,'Assumptions - General'!$B$5:$B$14,'Assumptions - General'!$C$5:$C$14)</f>
        <v>2.5</v>
      </c>
      <c r="L169" s="78">
        <f>_xlfn.XLOOKUP(L168,'Assumptions - General'!$B$5:$B$14,'Assumptions - General'!$C$5:$C$14)</f>
        <v>2.5</v>
      </c>
      <c r="M169" s="78">
        <f>_xlfn.XLOOKUP(M168,'Assumptions - General'!$B$5:$B$14,'Assumptions - General'!$C$5:$C$14)</f>
        <v>2.5</v>
      </c>
      <c r="N169" s="78">
        <f>_xlfn.XLOOKUP(N168,'Assumptions - General'!$B$5:$B$14,'Assumptions - General'!$C$5:$C$14)</f>
        <v>2.5</v>
      </c>
      <c r="O169" s="78">
        <f>_xlfn.XLOOKUP(O168,'Assumptions - General'!$B$5:$B$14,'Assumptions - General'!$C$5:$C$14)</f>
        <v>2.5</v>
      </c>
      <c r="P169" s="78">
        <f>_xlfn.XLOOKUP(P168,'Assumptions - General'!$B$5:$B$14,'Assumptions - General'!$C$5:$C$14)</f>
        <v>2.5</v>
      </c>
      <c r="Q169" s="78">
        <f>_xlfn.XLOOKUP(Q168,'Assumptions - General'!$B$5:$B$14,'Assumptions - General'!$C$5:$C$14)</f>
        <v>2.5</v>
      </c>
      <c r="R169" s="397"/>
      <c r="S169" s="49"/>
    </row>
    <row r="170" spans="2:19" hidden="1">
      <c r="B170" s="94" t="s">
        <v>533</v>
      </c>
      <c r="C170" s="56"/>
      <c r="D170" s="89"/>
      <c r="E170" s="49" t="s">
        <v>322</v>
      </c>
      <c r="F170" s="28" t="s">
        <v>221</v>
      </c>
      <c r="H170" s="78">
        <f>H167*H169</f>
        <v>0</v>
      </c>
      <c r="I170" s="78">
        <f t="shared" ref="I170:Q170" si="104">I167*I169</f>
        <v>0</v>
      </c>
      <c r="J170" s="78">
        <f t="shared" si="104"/>
        <v>0</v>
      </c>
      <c r="K170" s="78">
        <f t="shared" si="104"/>
        <v>0</v>
      </c>
      <c r="L170" s="78">
        <f t="shared" si="104"/>
        <v>0</v>
      </c>
      <c r="M170" s="78">
        <f t="shared" si="104"/>
        <v>0</v>
      </c>
      <c r="N170" s="78">
        <f t="shared" si="104"/>
        <v>0</v>
      </c>
      <c r="O170" s="78">
        <f t="shared" si="104"/>
        <v>0</v>
      </c>
      <c r="P170" s="78">
        <f t="shared" si="104"/>
        <v>0</v>
      </c>
      <c r="Q170" s="78">
        <f t="shared" si="104"/>
        <v>0</v>
      </c>
      <c r="R170" s="397"/>
      <c r="S170" s="49"/>
    </row>
    <row r="171" spans="2:19" hidden="1">
      <c r="B171" s="94" t="s">
        <v>533</v>
      </c>
      <c r="C171" s="50" t="s">
        <v>556</v>
      </c>
      <c r="D171" s="89"/>
      <c r="E171" s="49" t="s">
        <v>227</v>
      </c>
      <c r="F171" s="28" t="s">
        <v>228</v>
      </c>
      <c r="H171" s="54">
        <f t="shared" ref="H171:Q171" si="105">_xlfn.XLOOKUP(H168,Rates_soil_seed_adds_names_R,Rates_soil_seed_adds_rates_R)</f>
        <v>47</v>
      </c>
      <c r="I171" s="54">
        <f t="shared" si="105"/>
        <v>47</v>
      </c>
      <c r="J171" s="54">
        <f t="shared" si="105"/>
        <v>47</v>
      </c>
      <c r="K171" s="54">
        <f t="shared" si="105"/>
        <v>47</v>
      </c>
      <c r="L171" s="54">
        <f t="shared" si="105"/>
        <v>47</v>
      </c>
      <c r="M171" s="54">
        <f t="shared" si="105"/>
        <v>47</v>
      </c>
      <c r="N171" s="54">
        <f t="shared" si="105"/>
        <v>47</v>
      </c>
      <c r="O171" s="54">
        <f t="shared" si="105"/>
        <v>47</v>
      </c>
      <c r="P171" s="54">
        <f t="shared" si="105"/>
        <v>47</v>
      </c>
      <c r="Q171" s="54">
        <f t="shared" si="105"/>
        <v>47</v>
      </c>
      <c r="R171" s="397"/>
      <c r="S171" s="49"/>
    </row>
    <row r="172" spans="2:19" hidden="1">
      <c r="B172" s="94" t="s">
        <v>533</v>
      </c>
      <c r="C172" s="52"/>
      <c r="D172" s="89"/>
      <c r="E172" s="55" t="s">
        <v>229</v>
      </c>
      <c r="F172" s="28" t="s">
        <v>228</v>
      </c>
      <c r="G172" s="42"/>
      <c r="H172" s="414"/>
      <c r="I172" s="414"/>
      <c r="J172" s="414"/>
      <c r="K172" s="414"/>
      <c r="L172" s="414"/>
      <c r="M172" s="414"/>
      <c r="N172" s="414"/>
      <c r="O172" s="414"/>
      <c r="P172" s="414"/>
      <c r="Q172" s="415"/>
      <c r="R172" s="397"/>
      <c r="S172" s="49"/>
    </row>
    <row r="173" spans="2:19" hidden="1">
      <c r="B173" s="94" t="s">
        <v>533</v>
      </c>
      <c r="C173" s="56"/>
      <c r="D173" s="89"/>
      <c r="E173" s="49" t="s">
        <v>325</v>
      </c>
      <c r="F173" s="28" t="s">
        <v>207</v>
      </c>
      <c r="H173" s="73">
        <f>IF(H172="",H171,H172)*H170</f>
        <v>0</v>
      </c>
      <c r="I173" s="73">
        <f t="shared" ref="I173:Q173" si="106">IF(I172="",I171,I172)*I170</f>
        <v>0</v>
      </c>
      <c r="J173" s="73">
        <f t="shared" si="106"/>
        <v>0</v>
      </c>
      <c r="K173" s="73">
        <f t="shared" si="106"/>
        <v>0</v>
      </c>
      <c r="L173" s="73">
        <f t="shared" si="106"/>
        <v>0</v>
      </c>
      <c r="M173" s="73">
        <f t="shared" si="106"/>
        <v>0</v>
      </c>
      <c r="N173" s="73">
        <f t="shared" si="106"/>
        <v>0</v>
      </c>
      <c r="O173" s="73">
        <f t="shared" si="106"/>
        <v>0</v>
      </c>
      <c r="P173" s="73">
        <f t="shared" si="106"/>
        <v>0</v>
      </c>
      <c r="Q173" s="73">
        <f t="shared" si="106"/>
        <v>0</v>
      </c>
      <c r="R173" s="397"/>
      <c r="S173" s="49"/>
    </row>
    <row r="174" spans="2:19" hidden="1">
      <c r="B174" s="94" t="s">
        <v>533</v>
      </c>
      <c r="C174" s="50" t="s">
        <v>557</v>
      </c>
      <c r="D174" s="89"/>
      <c r="E174" s="82" t="s">
        <v>558</v>
      </c>
      <c r="F174" s="28" t="s">
        <v>123</v>
      </c>
      <c r="H174" s="503" t="s">
        <v>233</v>
      </c>
      <c r="I174" s="503" t="s">
        <v>233</v>
      </c>
      <c r="J174" s="503" t="s">
        <v>233</v>
      </c>
      <c r="K174" s="503" t="s">
        <v>233</v>
      </c>
      <c r="L174" s="503" t="s">
        <v>233</v>
      </c>
      <c r="M174" s="503" t="s">
        <v>233</v>
      </c>
      <c r="N174" s="503" t="s">
        <v>233</v>
      </c>
      <c r="O174" s="503" t="s">
        <v>233</v>
      </c>
      <c r="P174" s="503" t="s">
        <v>233</v>
      </c>
      <c r="Q174" s="503" t="s">
        <v>233</v>
      </c>
      <c r="R174" s="397"/>
      <c r="S174" s="49"/>
    </row>
    <row r="175" spans="2:19" hidden="1">
      <c r="B175" s="94" t="s">
        <v>533</v>
      </c>
      <c r="C175" s="52"/>
      <c r="D175" s="89"/>
      <c r="E175" s="49" t="s">
        <v>227</v>
      </c>
      <c r="F175" s="28" t="s">
        <v>234</v>
      </c>
      <c r="H175" s="54">
        <f t="shared" ref="H175:Q175" si="107">_xlfn.XLOOKUP(H174,Long_haul_soil_amend_names_mass_CS,Long_haul_soil_amend_rates_mass_CS)</f>
        <v>0.11650973647112783</v>
      </c>
      <c r="I175" s="54">
        <f t="shared" si="107"/>
        <v>0.11650973647112783</v>
      </c>
      <c r="J175" s="54">
        <f t="shared" si="107"/>
        <v>0.11650973647112783</v>
      </c>
      <c r="K175" s="54">
        <f t="shared" si="107"/>
        <v>0.11650973647112783</v>
      </c>
      <c r="L175" s="54">
        <f t="shared" si="107"/>
        <v>0.11650973647112783</v>
      </c>
      <c r="M175" s="54">
        <f t="shared" si="107"/>
        <v>0.11650973647112783</v>
      </c>
      <c r="N175" s="54">
        <f t="shared" si="107"/>
        <v>0.11650973647112783</v>
      </c>
      <c r="O175" s="54">
        <f t="shared" si="107"/>
        <v>0.11650973647112783</v>
      </c>
      <c r="P175" s="54">
        <f t="shared" si="107"/>
        <v>0.11650973647112783</v>
      </c>
      <c r="Q175" s="54">
        <f t="shared" si="107"/>
        <v>0.11650973647112783</v>
      </c>
      <c r="R175" s="397"/>
      <c r="S175" s="49"/>
    </row>
    <row r="176" spans="2:19" hidden="1">
      <c r="B176" s="94" t="s">
        <v>533</v>
      </c>
      <c r="C176" s="52"/>
      <c r="D176" s="89"/>
      <c r="E176" s="55" t="s">
        <v>229</v>
      </c>
      <c r="F176" s="28" t="s">
        <v>234</v>
      </c>
      <c r="H176" s="414"/>
      <c r="I176" s="414"/>
      <c r="J176" s="414"/>
      <c r="K176" s="414"/>
      <c r="L176" s="414"/>
      <c r="M176" s="414"/>
      <c r="N176" s="414"/>
      <c r="O176" s="414"/>
      <c r="P176" s="414"/>
      <c r="Q176" s="414"/>
      <c r="R176" s="397"/>
      <c r="S176" s="49"/>
    </row>
    <row r="177" spans="2:19" hidden="1">
      <c r="B177" s="94" t="s">
        <v>533</v>
      </c>
      <c r="C177" s="56"/>
      <c r="D177" s="89"/>
      <c r="E177" s="49" t="s">
        <v>146</v>
      </c>
      <c r="F177" s="28" t="s">
        <v>207</v>
      </c>
      <c r="H177" s="128">
        <f t="shared" ref="H177:Q177" si="108">H170*_xlfn.XLOOKUP(H174,Long_haul_distance_names_L,Long_haul_distances_average_L)*IF(H176="",H175,H176)</f>
        <v>0</v>
      </c>
      <c r="I177" s="128">
        <f t="shared" si="108"/>
        <v>0</v>
      </c>
      <c r="J177" s="128">
        <f t="shared" si="108"/>
        <v>0</v>
      </c>
      <c r="K177" s="128">
        <f t="shared" si="108"/>
        <v>0</v>
      </c>
      <c r="L177" s="128">
        <f t="shared" si="108"/>
        <v>0</v>
      </c>
      <c r="M177" s="128">
        <f t="shared" si="108"/>
        <v>0</v>
      </c>
      <c r="N177" s="128">
        <f t="shared" si="108"/>
        <v>0</v>
      </c>
      <c r="O177" s="128">
        <f t="shared" si="108"/>
        <v>0</v>
      </c>
      <c r="P177" s="128">
        <f t="shared" si="108"/>
        <v>0</v>
      </c>
      <c r="Q177" s="128">
        <f t="shared" si="108"/>
        <v>0</v>
      </c>
      <c r="R177" s="397"/>
      <c r="S177" s="49"/>
    </row>
    <row r="178" spans="2:19" hidden="1">
      <c r="B178" s="94" t="s">
        <v>533</v>
      </c>
      <c r="C178" s="50" t="s">
        <v>328</v>
      </c>
      <c r="D178" s="89"/>
      <c r="E178" s="55" t="s">
        <v>229</v>
      </c>
      <c r="F178" s="28" t="s">
        <v>329</v>
      </c>
      <c r="G178" s="42"/>
      <c r="H178" s="414"/>
      <c r="I178" s="414"/>
      <c r="J178" s="414"/>
      <c r="K178" s="414"/>
      <c r="L178" s="414"/>
      <c r="M178" s="414"/>
      <c r="N178" s="414"/>
      <c r="O178" s="414"/>
      <c r="P178" s="414"/>
      <c r="Q178" s="414"/>
      <c r="R178" s="397"/>
      <c r="S178" s="49"/>
    </row>
    <row r="179" spans="2:19" hidden="1">
      <c r="B179" s="94" t="s">
        <v>533</v>
      </c>
      <c r="C179" s="52"/>
      <c r="D179" s="89"/>
      <c r="E179" s="49" t="s">
        <v>227</v>
      </c>
      <c r="F179" s="28" t="s">
        <v>329</v>
      </c>
      <c r="H179" s="54">
        <f>'Cost Schedule'!$D$9</f>
        <v>2323.4444444444448</v>
      </c>
      <c r="I179" s="54">
        <f>'Cost Schedule'!$D$9</f>
        <v>2323.4444444444448</v>
      </c>
      <c r="J179" s="54">
        <f>'Cost Schedule'!$D$9</f>
        <v>2323.4444444444448</v>
      </c>
      <c r="K179" s="54">
        <f>'Cost Schedule'!$D$9</f>
        <v>2323.4444444444448</v>
      </c>
      <c r="L179" s="54">
        <f>'Cost Schedule'!$D$9</f>
        <v>2323.4444444444448</v>
      </c>
      <c r="M179" s="54">
        <f>'Cost Schedule'!$D$9</f>
        <v>2323.4444444444448</v>
      </c>
      <c r="N179" s="54">
        <f>'Cost Schedule'!$D$9</f>
        <v>2323.4444444444448</v>
      </c>
      <c r="O179" s="54">
        <f>'Cost Schedule'!$D$9</f>
        <v>2323.4444444444448</v>
      </c>
      <c r="P179" s="54">
        <f>'Cost Schedule'!$D$9</f>
        <v>2323.4444444444448</v>
      </c>
      <c r="Q179" s="54">
        <f>'Cost Schedule'!$D$9</f>
        <v>2323.4444444444448</v>
      </c>
      <c r="R179" s="397"/>
      <c r="S179" s="49"/>
    </row>
    <row r="180" spans="2:19" hidden="1">
      <c r="B180" s="94" t="s">
        <v>533</v>
      </c>
      <c r="C180" s="56"/>
      <c r="D180" s="90"/>
      <c r="E180" s="49" t="s">
        <v>146</v>
      </c>
      <c r="F180" s="28" t="s">
        <v>207</v>
      </c>
      <c r="H180" s="129">
        <f t="shared" ref="H180:Q180" si="109">H167*IF(H178="",H179,H178)</f>
        <v>0</v>
      </c>
      <c r="I180" s="129">
        <f t="shared" si="109"/>
        <v>0</v>
      </c>
      <c r="J180" s="129">
        <f t="shared" si="109"/>
        <v>0</v>
      </c>
      <c r="K180" s="129">
        <f t="shared" si="109"/>
        <v>0</v>
      </c>
      <c r="L180" s="129">
        <f t="shared" si="109"/>
        <v>0</v>
      </c>
      <c r="M180" s="129">
        <f t="shared" si="109"/>
        <v>0</v>
      </c>
      <c r="N180" s="129">
        <f t="shared" si="109"/>
        <v>0</v>
      </c>
      <c r="O180" s="129">
        <f t="shared" si="109"/>
        <v>0</v>
      </c>
      <c r="P180" s="129">
        <f t="shared" si="109"/>
        <v>0</v>
      </c>
      <c r="Q180" s="129">
        <f t="shared" si="109"/>
        <v>0</v>
      </c>
      <c r="R180" s="397"/>
      <c r="S180" s="49"/>
    </row>
    <row r="181" spans="2:19" hidden="1">
      <c r="B181" s="94" t="s">
        <v>533</v>
      </c>
      <c r="C181" s="158"/>
      <c r="D181" s="66"/>
      <c r="E181" s="67" t="str">
        <f>C165</f>
        <v>Source and apply ameliorants</v>
      </c>
      <c r="F181" s="72"/>
      <c r="G181" s="63"/>
      <c r="H181" s="80">
        <f>H173+H177+H180</f>
        <v>0</v>
      </c>
      <c r="I181" s="80">
        <f t="shared" ref="I181:Q181" si="110">I173+I177+I180</f>
        <v>0</v>
      </c>
      <c r="J181" s="80">
        <f t="shared" si="110"/>
        <v>0</v>
      </c>
      <c r="K181" s="80">
        <f t="shared" si="110"/>
        <v>0</v>
      </c>
      <c r="L181" s="80">
        <f t="shared" si="110"/>
        <v>0</v>
      </c>
      <c r="M181" s="80">
        <f t="shared" si="110"/>
        <v>0</v>
      </c>
      <c r="N181" s="80">
        <f t="shared" si="110"/>
        <v>0</v>
      </c>
      <c r="O181" s="80">
        <f t="shared" si="110"/>
        <v>0</v>
      </c>
      <c r="P181" s="80">
        <f t="shared" si="110"/>
        <v>0</v>
      </c>
      <c r="Q181" s="80">
        <f t="shared" si="110"/>
        <v>0</v>
      </c>
      <c r="R181" s="397"/>
      <c r="S181" s="49"/>
    </row>
    <row r="182" spans="2:19" hidden="1">
      <c r="B182" s="94" t="s">
        <v>533</v>
      </c>
      <c r="C182" s="174" t="s">
        <v>1003</v>
      </c>
      <c r="D182" s="88" t="s">
        <v>345</v>
      </c>
      <c r="E182" s="49" t="s">
        <v>623</v>
      </c>
      <c r="F182" s="28" t="s">
        <v>299</v>
      </c>
      <c r="H182" s="78">
        <f>H143</f>
        <v>0</v>
      </c>
      <c r="I182" s="78">
        <f t="shared" ref="I182:Q182" si="111">I143</f>
        <v>0</v>
      </c>
      <c r="J182" s="78">
        <f t="shared" si="111"/>
        <v>0</v>
      </c>
      <c r="K182" s="78">
        <f t="shared" si="111"/>
        <v>0</v>
      </c>
      <c r="L182" s="78">
        <f t="shared" si="111"/>
        <v>0</v>
      </c>
      <c r="M182" s="78">
        <f t="shared" si="111"/>
        <v>0</v>
      </c>
      <c r="N182" s="78">
        <f t="shared" si="111"/>
        <v>0</v>
      </c>
      <c r="O182" s="78">
        <f t="shared" si="111"/>
        <v>0</v>
      </c>
      <c r="P182" s="78">
        <f t="shared" si="111"/>
        <v>0</v>
      </c>
      <c r="Q182" s="78">
        <f t="shared" si="111"/>
        <v>0</v>
      </c>
      <c r="R182" s="397"/>
      <c r="S182" s="49"/>
    </row>
    <row r="183" spans="2:19" hidden="1">
      <c r="B183" s="94" t="s">
        <v>533</v>
      </c>
      <c r="C183" s="76"/>
      <c r="D183" s="89"/>
      <c r="E183" s="49" t="s">
        <v>624</v>
      </c>
      <c r="F183" s="28" t="s">
        <v>299</v>
      </c>
      <c r="H183" s="515"/>
      <c r="I183" s="515"/>
      <c r="J183" s="515"/>
      <c r="K183" s="515"/>
      <c r="L183" s="515"/>
      <c r="M183" s="515"/>
      <c r="N183" s="515"/>
      <c r="O183" s="515"/>
      <c r="P183" s="515"/>
      <c r="Q183" s="515"/>
      <c r="R183" s="397"/>
      <c r="S183" s="49"/>
    </row>
    <row r="184" spans="2:19" hidden="1">
      <c r="B184" s="94" t="s">
        <v>533</v>
      </c>
      <c r="C184" s="77"/>
      <c r="D184" s="89"/>
      <c r="E184" s="49" t="s">
        <v>625</v>
      </c>
      <c r="F184" s="28" t="s">
        <v>299</v>
      </c>
      <c r="H184" s="78">
        <f>IF(H183="",H182,H183)</f>
        <v>0</v>
      </c>
      <c r="I184" s="78">
        <f t="shared" ref="I184:Q184" si="112">IF(I183="",I182,I183)</f>
        <v>0</v>
      </c>
      <c r="J184" s="78">
        <f t="shared" si="112"/>
        <v>0</v>
      </c>
      <c r="K184" s="78">
        <f t="shared" si="112"/>
        <v>0</v>
      </c>
      <c r="L184" s="78">
        <f t="shared" si="112"/>
        <v>0</v>
      </c>
      <c r="M184" s="78">
        <f t="shared" si="112"/>
        <v>0</v>
      </c>
      <c r="N184" s="78">
        <f t="shared" si="112"/>
        <v>0</v>
      </c>
      <c r="O184" s="78">
        <f t="shared" si="112"/>
        <v>0</v>
      </c>
      <c r="P184" s="78">
        <f t="shared" si="112"/>
        <v>0</v>
      </c>
      <c r="Q184" s="78">
        <f t="shared" si="112"/>
        <v>0</v>
      </c>
      <c r="R184" s="397"/>
      <c r="S184" s="49"/>
    </row>
    <row r="185" spans="2:19" ht="33.75" hidden="1">
      <c r="B185" s="94" t="s">
        <v>533</v>
      </c>
      <c r="C185" s="75" t="s">
        <v>344</v>
      </c>
      <c r="D185" s="89"/>
      <c r="E185" s="49" t="s">
        <v>333</v>
      </c>
      <c r="F185" s="28" t="s">
        <v>123</v>
      </c>
      <c r="G185" s="42" t="s">
        <v>123</v>
      </c>
      <c r="H185" s="412" t="s">
        <v>346</v>
      </c>
      <c r="I185" s="412" t="s">
        <v>346</v>
      </c>
      <c r="J185" s="412" t="s">
        <v>347</v>
      </c>
      <c r="K185" s="412" t="s">
        <v>347</v>
      </c>
      <c r="L185" s="412" t="s">
        <v>348</v>
      </c>
      <c r="M185" s="412" t="s">
        <v>349</v>
      </c>
      <c r="N185" s="412" t="s">
        <v>661</v>
      </c>
      <c r="O185" s="412" t="s">
        <v>662</v>
      </c>
      <c r="P185" s="412" t="s">
        <v>350</v>
      </c>
      <c r="Q185" s="412" t="s">
        <v>351</v>
      </c>
      <c r="R185" s="397"/>
      <c r="S185" s="49"/>
    </row>
    <row r="186" spans="2:19" hidden="1">
      <c r="B186" s="94" t="s">
        <v>533</v>
      </c>
      <c r="C186" s="76"/>
      <c r="D186" s="89"/>
      <c r="E186" s="49" t="s">
        <v>227</v>
      </c>
      <c r="F186" s="28" t="s">
        <v>352</v>
      </c>
      <c r="H186" s="54">
        <f>_xlfn.XLOOKUP(H185,Rates_soil_seed_adds_names_R,Rates_soil_seed_adds_rates_R)</f>
        <v>150</v>
      </c>
      <c r="I186" s="54">
        <f t="shared" ref="I186:Q186" si="113">_xlfn.XLOOKUP(I185,Rates_soil_seed_adds_names_R,Rates_soil_seed_adds_rates_R)</f>
        <v>150</v>
      </c>
      <c r="J186" s="54">
        <f t="shared" si="113"/>
        <v>350</v>
      </c>
      <c r="K186" s="54">
        <f t="shared" si="113"/>
        <v>350</v>
      </c>
      <c r="L186" s="54">
        <f t="shared" si="113"/>
        <v>5</v>
      </c>
      <c r="M186" s="54">
        <f t="shared" si="113"/>
        <v>15</v>
      </c>
      <c r="N186" s="54">
        <f t="shared" si="113"/>
        <v>17.647058823529413</v>
      </c>
      <c r="O186" s="54">
        <f t="shared" si="113"/>
        <v>920</v>
      </c>
      <c r="P186" s="54">
        <f t="shared" si="113"/>
        <v>17.647058823529413</v>
      </c>
      <c r="Q186" s="54">
        <f t="shared" si="113"/>
        <v>920</v>
      </c>
      <c r="R186" s="397"/>
      <c r="S186" s="49"/>
    </row>
    <row r="187" spans="2:19" hidden="1">
      <c r="B187" s="94" t="s">
        <v>533</v>
      </c>
      <c r="C187" s="76"/>
      <c r="D187" s="89"/>
      <c r="E187" s="49" t="s">
        <v>353</v>
      </c>
      <c r="H187" s="70" t="str">
        <f t="shared" ref="H187:Q187" si="114">IF(H185=Arid,"",_xlfn.XLOOKUP(H185,Rates_soil_seed_adds_names_R,Rates_soil_seed_add_units_R))</f>
        <v>kg</v>
      </c>
      <c r="I187" s="70" t="str">
        <f t="shared" si="114"/>
        <v>kg</v>
      </c>
      <c r="J187" s="70" t="str">
        <f t="shared" si="114"/>
        <v>kg</v>
      </c>
      <c r="K187" s="70" t="str">
        <f t="shared" si="114"/>
        <v>kg</v>
      </c>
      <c r="L187" s="70" t="str">
        <f t="shared" si="114"/>
        <v>item</v>
      </c>
      <c r="M187" s="70" t="str">
        <f t="shared" si="114"/>
        <v>item</v>
      </c>
      <c r="N187" s="70" t="str">
        <f t="shared" si="114"/>
        <v>kg</v>
      </c>
      <c r="O187" s="70" t="str">
        <f t="shared" si="114"/>
        <v>kg</v>
      </c>
      <c r="P187" s="70" t="str">
        <f t="shared" si="114"/>
        <v>kg</v>
      </c>
      <c r="Q187" s="70" t="str">
        <f t="shared" si="114"/>
        <v>kg</v>
      </c>
      <c r="R187" s="397"/>
      <c r="S187" s="49"/>
    </row>
    <row r="188" spans="2:19" hidden="1">
      <c r="B188" s="94" t="s">
        <v>533</v>
      </c>
      <c r="C188" s="76"/>
      <c r="D188" s="89"/>
      <c r="E188" s="55" t="s">
        <v>229</v>
      </c>
      <c r="F188" s="28" t="s">
        <v>352</v>
      </c>
      <c r="H188" s="414"/>
      <c r="I188" s="414"/>
      <c r="J188" s="414"/>
      <c r="K188" s="414"/>
      <c r="L188" s="414"/>
      <c r="M188" s="414"/>
      <c r="N188" s="414"/>
      <c r="O188" s="414"/>
      <c r="P188" s="414"/>
      <c r="Q188" s="414"/>
      <c r="R188" s="397"/>
      <c r="S188" s="49"/>
    </row>
    <row r="189" spans="2:19" hidden="1">
      <c r="B189" s="94" t="s">
        <v>533</v>
      </c>
      <c r="C189" s="76"/>
      <c r="D189" s="89"/>
      <c r="E189" s="55" t="s">
        <v>320</v>
      </c>
      <c r="F189" s="28" t="s">
        <v>354</v>
      </c>
      <c r="H189" s="78">
        <f t="shared" ref="H189:Q189" si="115">_xlfn.XLOOKUP(H185,Plant_and_seed_appln_rate_names_Assumptions,Plant_and_seed_appln_rates_rates_Assumptions)</f>
        <v>5</v>
      </c>
      <c r="I189" s="78">
        <f t="shared" si="115"/>
        <v>5</v>
      </c>
      <c r="J189" s="78">
        <f t="shared" si="115"/>
        <v>7</v>
      </c>
      <c r="K189" s="78">
        <f t="shared" si="115"/>
        <v>7</v>
      </c>
      <c r="L189" s="78">
        <f t="shared" si="115"/>
        <v>150</v>
      </c>
      <c r="M189" s="78">
        <f t="shared" si="115"/>
        <v>75</v>
      </c>
      <c r="N189" s="78">
        <f t="shared" si="115"/>
        <v>42.5</v>
      </c>
      <c r="O189" s="78">
        <f t="shared" si="115"/>
        <v>12.5</v>
      </c>
      <c r="P189" s="78">
        <f t="shared" si="115"/>
        <v>42.5</v>
      </c>
      <c r="Q189" s="78">
        <f t="shared" si="115"/>
        <v>12.5</v>
      </c>
      <c r="R189" s="397"/>
      <c r="S189" s="49"/>
    </row>
    <row r="190" spans="2:19" hidden="1">
      <c r="B190" s="94" t="s">
        <v>533</v>
      </c>
      <c r="C190" s="76"/>
      <c r="D190" s="89"/>
      <c r="E190" s="55" t="s">
        <v>355</v>
      </c>
      <c r="H190" s="78">
        <f>H189*H184</f>
        <v>0</v>
      </c>
      <c r="I190" s="78">
        <f t="shared" ref="I190:Q190" si="116">I189*I184</f>
        <v>0</v>
      </c>
      <c r="J190" s="78">
        <f t="shared" si="116"/>
        <v>0</v>
      </c>
      <c r="K190" s="78">
        <f t="shared" si="116"/>
        <v>0</v>
      </c>
      <c r="L190" s="78">
        <f t="shared" si="116"/>
        <v>0</v>
      </c>
      <c r="M190" s="78">
        <f t="shared" si="116"/>
        <v>0</v>
      </c>
      <c r="N190" s="78">
        <f t="shared" si="116"/>
        <v>0</v>
      </c>
      <c r="O190" s="78">
        <f t="shared" si="116"/>
        <v>0</v>
      </c>
      <c r="P190" s="78">
        <f t="shared" si="116"/>
        <v>0</v>
      </c>
      <c r="Q190" s="78">
        <f t="shared" si="116"/>
        <v>0</v>
      </c>
      <c r="R190" s="397"/>
      <c r="S190" s="49"/>
    </row>
    <row r="191" spans="2:19" hidden="1">
      <c r="B191" s="94" t="s">
        <v>533</v>
      </c>
      <c r="C191" s="77"/>
      <c r="D191" s="89"/>
      <c r="E191" s="49" t="s">
        <v>146</v>
      </c>
      <c r="F191" s="28" t="s">
        <v>207</v>
      </c>
      <c r="H191" s="79">
        <f>IF(H188="",H186,H188)*H190</f>
        <v>0</v>
      </c>
      <c r="I191" s="79">
        <f t="shared" ref="I191:Q191" si="117">IF(I188="",I186,I188)*I190</f>
        <v>0</v>
      </c>
      <c r="J191" s="79">
        <f t="shared" si="117"/>
        <v>0</v>
      </c>
      <c r="K191" s="79">
        <f t="shared" si="117"/>
        <v>0</v>
      </c>
      <c r="L191" s="79">
        <f t="shared" si="117"/>
        <v>0</v>
      </c>
      <c r="M191" s="79">
        <f t="shared" si="117"/>
        <v>0</v>
      </c>
      <c r="N191" s="79">
        <f t="shared" si="117"/>
        <v>0</v>
      </c>
      <c r="O191" s="79">
        <f t="shared" si="117"/>
        <v>0</v>
      </c>
      <c r="P191" s="79">
        <f t="shared" si="117"/>
        <v>0</v>
      </c>
      <c r="Q191" s="79">
        <f t="shared" si="117"/>
        <v>0</v>
      </c>
      <c r="R191" s="397"/>
      <c r="S191" s="49"/>
    </row>
    <row r="192" spans="2:19" ht="56.25" hidden="1">
      <c r="B192" s="94" t="s">
        <v>533</v>
      </c>
      <c r="C192" s="75" t="s">
        <v>356</v>
      </c>
      <c r="D192" s="89"/>
      <c r="E192" s="49" t="s">
        <v>357</v>
      </c>
      <c r="F192" s="28" t="s">
        <v>123</v>
      </c>
      <c r="H192" s="412" t="s">
        <v>358</v>
      </c>
      <c r="I192" s="412" t="s">
        <v>359</v>
      </c>
      <c r="J192" s="412" t="s">
        <v>360</v>
      </c>
      <c r="K192" s="412" t="s">
        <v>361</v>
      </c>
      <c r="L192" s="412" t="s">
        <v>362</v>
      </c>
      <c r="M192" s="412" t="s">
        <v>363</v>
      </c>
      <c r="N192" s="412" t="s">
        <v>664</v>
      </c>
      <c r="O192" s="412" t="s">
        <v>665</v>
      </c>
      <c r="P192" s="412" t="s">
        <v>364</v>
      </c>
      <c r="Q192" s="412" t="s">
        <v>365</v>
      </c>
      <c r="R192" s="397"/>
      <c r="S192" s="49"/>
    </row>
    <row r="193" spans="2:19" hidden="1">
      <c r="B193" s="94" t="s">
        <v>533</v>
      </c>
      <c r="C193" s="76"/>
      <c r="D193" s="89"/>
      <c r="E193" s="49" t="s">
        <v>227</v>
      </c>
      <c r="F193" s="28" t="s">
        <v>299</v>
      </c>
      <c r="H193" s="54">
        <f t="shared" ref="H193:Q193" si="118">IF(H185=Arid,0,_xlfn.XLOOKUP(H192,Plant_and_seed_apply_plant_names_CS,Plant_and_seed_apply_plant_rates_CS))</f>
        <v>539.45026666666672</v>
      </c>
      <c r="I193" s="54">
        <f t="shared" si="118"/>
        <v>265.67200000000003</v>
      </c>
      <c r="J193" s="54">
        <f t="shared" si="118"/>
        <v>539.45026666666672</v>
      </c>
      <c r="K193" s="54">
        <f t="shared" si="118"/>
        <v>265.67200000000003</v>
      </c>
      <c r="L193" s="54">
        <f t="shared" si="118"/>
        <v>218.42099999999999</v>
      </c>
      <c r="M193" s="54">
        <f t="shared" si="118"/>
        <v>634.21050000000002</v>
      </c>
      <c r="N193" s="54">
        <f t="shared" si="118"/>
        <v>3960</v>
      </c>
      <c r="O193" s="54">
        <f t="shared" si="118"/>
        <v>3960</v>
      </c>
      <c r="P193" s="54">
        <f t="shared" si="118"/>
        <v>46000</v>
      </c>
      <c r="Q193" s="54">
        <f t="shared" si="118"/>
        <v>46000</v>
      </c>
      <c r="R193" s="397"/>
      <c r="S193" s="49"/>
    </row>
    <row r="194" spans="2:19" hidden="1">
      <c r="B194" s="94" t="s">
        <v>533</v>
      </c>
      <c r="C194" s="76"/>
      <c r="D194" s="89"/>
      <c r="E194" s="55" t="s">
        <v>229</v>
      </c>
      <c r="F194" s="28" t="s">
        <v>329</v>
      </c>
      <c r="H194" s="414"/>
      <c r="I194" s="414"/>
      <c r="J194" s="414"/>
      <c r="K194" s="414"/>
      <c r="L194" s="414"/>
      <c r="M194" s="414"/>
      <c r="N194" s="414"/>
      <c r="O194" s="414"/>
      <c r="P194" s="414"/>
      <c r="Q194" s="414"/>
      <c r="R194" s="397"/>
      <c r="S194" s="49"/>
    </row>
    <row r="195" spans="2:19" hidden="1">
      <c r="B195" s="94" t="s">
        <v>533</v>
      </c>
      <c r="C195" s="77"/>
      <c r="D195" s="89"/>
      <c r="E195" s="49" t="s">
        <v>146</v>
      </c>
      <c r="F195" s="28" t="s">
        <v>207</v>
      </c>
      <c r="H195" s="79">
        <f>H$184*IF(H194="",H193,H194)</f>
        <v>0</v>
      </c>
      <c r="I195" s="79">
        <f t="shared" ref="I195:Q195" si="119">I$184*IF(I194="",I193,I194)</f>
        <v>0</v>
      </c>
      <c r="J195" s="79">
        <f t="shared" si="119"/>
        <v>0</v>
      </c>
      <c r="K195" s="79">
        <f t="shared" si="119"/>
        <v>0</v>
      </c>
      <c r="L195" s="79">
        <f t="shared" si="119"/>
        <v>0</v>
      </c>
      <c r="M195" s="79">
        <f t="shared" si="119"/>
        <v>0</v>
      </c>
      <c r="N195" s="79">
        <f t="shared" si="119"/>
        <v>0</v>
      </c>
      <c r="O195" s="79">
        <f t="shared" si="119"/>
        <v>0</v>
      </c>
      <c r="P195" s="79">
        <f t="shared" si="119"/>
        <v>0</v>
      </c>
      <c r="Q195" s="79">
        <f t="shared" si="119"/>
        <v>0</v>
      </c>
      <c r="R195" s="397"/>
      <c r="S195" s="49"/>
    </row>
    <row r="196" spans="2:19" ht="56.25" hidden="1">
      <c r="B196" s="94" t="s">
        <v>533</v>
      </c>
      <c r="C196" s="75" t="s">
        <v>367</v>
      </c>
      <c r="D196" s="89"/>
      <c r="E196" s="49" t="s">
        <v>357</v>
      </c>
      <c r="F196" s="28" t="s">
        <v>123</v>
      </c>
      <c r="H196" s="412" t="s">
        <v>368</v>
      </c>
      <c r="I196" s="412" t="s">
        <v>369</v>
      </c>
      <c r="J196" s="412" t="s">
        <v>370</v>
      </c>
      <c r="K196" s="412" t="s">
        <v>371</v>
      </c>
      <c r="L196" s="412" t="s">
        <v>372</v>
      </c>
      <c r="M196" s="412" t="s">
        <v>373</v>
      </c>
      <c r="N196" s="412" t="s">
        <v>666</v>
      </c>
      <c r="O196" s="412" t="s">
        <v>667</v>
      </c>
      <c r="P196" s="412" t="s">
        <v>374</v>
      </c>
      <c r="Q196" s="412" t="s">
        <v>375</v>
      </c>
      <c r="R196" s="397"/>
      <c r="S196" s="49"/>
    </row>
    <row r="197" spans="2:19" hidden="1">
      <c r="B197" s="94" t="s">
        <v>533</v>
      </c>
      <c r="C197" s="76"/>
      <c r="D197" s="89"/>
      <c r="E197" s="49" t="s">
        <v>227</v>
      </c>
      <c r="F197" s="28" t="s">
        <v>299</v>
      </c>
      <c r="H197" s="54">
        <f t="shared" ref="H197:Q197" si="120">IF(H185=Arid,0,_xlfn.XLOOKUP(H196,Plant_and_seed_fertiliser_buy_names_CS,Plant_and_seed_fertiliser_buy_rates_CS))</f>
        <v>337.65264299999996</v>
      </c>
      <c r="I197" s="54">
        <f t="shared" si="120"/>
        <v>337.65264299999996</v>
      </c>
      <c r="J197" s="54">
        <f t="shared" si="120"/>
        <v>50</v>
      </c>
      <c r="K197" s="54">
        <f t="shared" si="120"/>
        <v>50</v>
      </c>
      <c r="L197" s="54">
        <f t="shared" si="120"/>
        <v>50</v>
      </c>
      <c r="M197" s="54">
        <f t="shared" si="120"/>
        <v>50</v>
      </c>
      <c r="N197" s="54">
        <f t="shared" si="120"/>
        <v>365.79036324999993</v>
      </c>
      <c r="O197" s="54">
        <f t="shared" si="120"/>
        <v>162.5</v>
      </c>
      <c r="P197" s="54">
        <f t="shared" si="120"/>
        <v>365.79036324999993</v>
      </c>
      <c r="Q197" s="54">
        <f t="shared" si="120"/>
        <v>365.79036324999993</v>
      </c>
      <c r="R197" s="397"/>
      <c r="S197" s="49"/>
    </row>
    <row r="198" spans="2:19" hidden="1">
      <c r="B198" s="94" t="s">
        <v>533</v>
      </c>
      <c r="C198" s="76"/>
      <c r="D198" s="89"/>
      <c r="E198" s="55" t="s">
        <v>229</v>
      </c>
      <c r="F198" s="28" t="s">
        <v>329</v>
      </c>
      <c r="H198" s="414"/>
      <c r="I198" s="414"/>
      <c r="J198" s="414"/>
      <c r="K198" s="414"/>
      <c r="L198" s="414"/>
      <c r="M198" s="414"/>
      <c r="N198" s="414"/>
      <c r="O198" s="414"/>
      <c r="P198" s="414"/>
      <c r="Q198" s="414"/>
      <c r="R198" s="397"/>
      <c r="S198" s="49"/>
    </row>
    <row r="199" spans="2:19" hidden="1">
      <c r="B199" s="94" t="s">
        <v>533</v>
      </c>
      <c r="C199" s="77"/>
      <c r="D199" s="89"/>
      <c r="E199" s="49" t="s">
        <v>146</v>
      </c>
      <c r="F199" s="28" t="s">
        <v>207</v>
      </c>
      <c r="H199" s="79">
        <f>H$184*IF(H198="",H197,H198)</f>
        <v>0</v>
      </c>
      <c r="I199" s="79">
        <f t="shared" ref="I199" si="121">I$184*IF(I198="",I197,I198)</f>
        <v>0</v>
      </c>
      <c r="J199" s="79">
        <f t="shared" ref="J199" si="122">J$184*IF(J198="",J197,J198)</f>
        <v>0</v>
      </c>
      <c r="K199" s="79">
        <f t="shared" ref="K199" si="123">K$184*IF(K198="",K197,K198)</f>
        <v>0</v>
      </c>
      <c r="L199" s="79">
        <f t="shared" ref="L199" si="124">L$184*IF(L198="",L197,L198)</f>
        <v>0</v>
      </c>
      <c r="M199" s="79">
        <f t="shared" ref="M199" si="125">M$184*IF(M198="",M197,M198)</f>
        <v>0</v>
      </c>
      <c r="N199" s="79">
        <f t="shared" ref="N199" si="126">N$184*IF(N198="",N197,N198)</f>
        <v>0</v>
      </c>
      <c r="O199" s="79">
        <f t="shared" ref="O199" si="127">O$184*IF(O198="",O197,O198)</f>
        <v>0</v>
      </c>
      <c r="P199" s="79">
        <f t="shared" ref="P199" si="128">P$184*IF(P198="",P197,P198)</f>
        <v>0</v>
      </c>
      <c r="Q199" s="79">
        <f t="shared" ref="Q199" si="129">Q$184*IF(Q198="",Q197,Q198)</f>
        <v>0</v>
      </c>
      <c r="R199" s="397"/>
      <c r="S199" s="49"/>
    </row>
    <row r="200" spans="2:19" ht="56.25" hidden="1">
      <c r="B200" s="94" t="s">
        <v>533</v>
      </c>
      <c r="C200" s="75" t="s">
        <v>376</v>
      </c>
      <c r="D200" s="89"/>
      <c r="E200" s="49" t="s">
        <v>357</v>
      </c>
      <c r="F200" s="28" t="s">
        <v>123</v>
      </c>
      <c r="H200" s="412" t="s">
        <v>377</v>
      </c>
      <c r="I200" s="412" t="s">
        <v>378</v>
      </c>
      <c r="J200" s="412" t="s">
        <v>379</v>
      </c>
      <c r="K200" s="412" t="s">
        <v>380</v>
      </c>
      <c r="L200" s="412" t="s">
        <v>381</v>
      </c>
      <c r="M200" s="412" t="s">
        <v>382</v>
      </c>
      <c r="N200" s="412" t="s">
        <v>668</v>
      </c>
      <c r="O200" s="412" t="s">
        <v>669</v>
      </c>
      <c r="P200" s="412" t="s">
        <v>383</v>
      </c>
      <c r="Q200" s="412" t="s">
        <v>384</v>
      </c>
      <c r="R200" s="397"/>
      <c r="S200" s="49"/>
    </row>
    <row r="201" spans="2:19" hidden="1">
      <c r="B201" s="94" t="s">
        <v>533</v>
      </c>
      <c r="C201" s="76"/>
      <c r="D201" s="89"/>
      <c r="E201" s="49" t="s">
        <v>227</v>
      </c>
      <c r="F201" s="28" t="s">
        <v>299</v>
      </c>
      <c r="H201" s="54">
        <f t="shared" ref="H201:Q201" si="130">IF(H185=Arid,0,_xlfn.XLOOKUP(H200,Plant_and_seed_apply_fertiliser_names_CS,Plant_and_seed_fertiliser_apply_rates_CS))</f>
        <v>151.0736</v>
      </c>
      <c r="I201" s="54">
        <f t="shared" si="130"/>
        <v>39.473333333333336</v>
      </c>
      <c r="J201" s="54">
        <f t="shared" si="130"/>
        <v>151.0736</v>
      </c>
      <c r="K201" s="54">
        <f t="shared" si="130"/>
        <v>39.473333333333336</v>
      </c>
      <c r="L201" s="54">
        <f t="shared" si="130"/>
        <v>9.4736000000000011</v>
      </c>
      <c r="M201" s="54">
        <f t="shared" si="130"/>
        <v>9.4736000000000011</v>
      </c>
      <c r="N201" s="54">
        <f t="shared" si="130"/>
        <v>0</v>
      </c>
      <c r="O201" s="54">
        <f t="shared" si="130"/>
        <v>0</v>
      </c>
      <c r="P201" s="54">
        <f t="shared" si="130"/>
        <v>0</v>
      </c>
      <c r="Q201" s="54">
        <f t="shared" si="130"/>
        <v>0</v>
      </c>
      <c r="R201" s="397"/>
      <c r="S201" s="49"/>
    </row>
    <row r="202" spans="2:19" hidden="1">
      <c r="B202" s="94" t="s">
        <v>533</v>
      </c>
      <c r="C202" s="76"/>
      <c r="D202" s="89"/>
      <c r="E202" s="55" t="s">
        <v>229</v>
      </c>
      <c r="F202" s="28" t="s">
        <v>329</v>
      </c>
      <c r="H202" s="414"/>
      <c r="I202" s="414"/>
      <c r="J202" s="414"/>
      <c r="K202" s="414"/>
      <c r="L202" s="414"/>
      <c r="M202" s="414"/>
      <c r="N202" s="414"/>
      <c r="O202" s="414"/>
      <c r="P202" s="414"/>
      <c r="Q202" s="414"/>
      <c r="R202" s="397"/>
      <c r="S202" s="49"/>
    </row>
    <row r="203" spans="2:19" hidden="1">
      <c r="B203" s="94" t="s">
        <v>533</v>
      </c>
      <c r="C203" s="77"/>
      <c r="D203" s="89"/>
      <c r="E203" s="49" t="s">
        <v>146</v>
      </c>
      <c r="F203" s="28" t="s">
        <v>207</v>
      </c>
      <c r="H203" s="79">
        <f>H$184*IF(H202="",H201,H202)</f>
        <v>0</v>
      </c>
      <c r="I203" s="79">
        <f t="shared" ref="I203" si="131">I$184*IF(I202="",I201,I202)</f>
        <v>0</v>
      </c>
      <c r="J203" s="79">
        <f t="shared" ref="J203" si="132">J$184*IF(J202="",J201,J202)</f>
        <v>0</v>
      </c>
      <c r="K203" s="79">
        <f t="shared" ref="K203" si="133">K$184*IF(K202="",K201,K202)</f>
        <v>0</v>
      </c>
      <c r="L203" s="79">
        <f t="shared" ref="L203" si="134">L$184*IF(L202="",L201,L202)</f>
        <v>0</v>
      </c>
      <c r="M203" s="79">
        <f t="shared" ref="M203" si="135">M$184*IF(M202="",M201,M202)</f>
        <v>0</v>
      </c>
      <c r="N203" s="79">
        <f t="shared" ref="N203" si="136">N$184*IF(N202="",N201,N202)</f>
        <v>0</v>
      </c>
      <c r="O203" s="79">
        <f t="shared" ref="O203" si="137">O$184*IF(O202="",O201,O202)</f>
        <v>0</v>
      </c>
      <c r="P203" s="79">
        <f t="shared" ref="P203" si="138">P$184*IF(P202="",P201,P202)</f>
        <v>0</v>
      </c>
      <c r="Q203" s="79">
        <f t="shared" ref="Q203" si="139">Q$184*IF(Q202="",Q201,Q202)</f>
        <v>0</v>
      </c>
      <c r="R203" s="397"/>
      <c r="S203" s="49"/>
    </row>
    <row r="204" spans="2:19" ht="45" hidden="1">
      <c r="B204" s="94" t="s">
        <v>533</v>
      </c>
      <c r="C204" s="75" t="s">
        <v>386</v>
      </c>
      <c r="D204" s="89"/>
      <c r="E204" s="49" t="s">
        <v>357</v>
      </c>
      <c r="F204" s="28" t="s">
        <v>123</v>
      </c>
      <c r="H204" s="412" t="s">
        <v>387</v>
      </c>
      <c r="I204" s="412" t="s">
        <v>388</v>
      </c>
      <c r="J204" s="412" t="s">
        <v>389</v>
      </c>
      <c r="K204" s="412" t="s">
        <v>390</v>
      </c>
      <c r="L204" s="412" t="s">
        <v>391</v>
      </c>
      <c r="M204" s="412" t="s">
        <v>392</v>
      </c>
      <c r="N204" s="412" t="s">
        <v>827</v>
      </c>
      <c r="O204" s="412" t="s">
        <v>670</v>
      </c>
      <c r="P204" s="412" t="s">
        <v>393</v>
      </c>
      <c r="Q204" s="412" t="s">
        <v>394</v>
      </c>
      <c r="R204" s="397"/>
      <c r="S204" s="49"/>
    </row>
    <row r="205" spans="2:19" hidden="1">
      <c r="B205" s="94" t="s">
        <v>533</v>
      </c>
      <c r="C205" s="76"/>
      <c r="D205" s="89"/>
      <c r="E205" s="49" t="s">
        <v>227</v>
      </c>
      <c r="F205" s="28" t="s">
        <v>299</v>
      </c>
      <c r="H205" s="54">
        <f t="shared" ref="H205:Q205" si="140">IF(H185=Arid,0,_xlfn.XLOOKUP(H204,Plant_and_seed_buy_water_names_CS,Plant_and_seed_water_buy_rates_CS))</f>
        <v>1200</v>
      </c>
      <c r="I205" s="54">
        <f t="shared" si="140"/>
        <v>1200</v>
      </c>
      <c r="J205" s="54">
        <f t="shared" si="140"/>
        <v>1200</v>
      </c>
      <c r="K205" s="54">
        <f t="shared" si="140"/>
        <v>1200</v>
      </c>
      <c r="L205" s="54">
        <f t="shared" si="140"/>
        <v>100</v>
      </c>
      <c r="M205" s="54">
        <f t="shared" si="140"/>
        <v>100</v>
      </c>
      <c r="N205" s="54">
        <f t="shared" si="140"/>
        <v>600</v>
      </c>
      <c r="O205" s="54">
        <f t="shared" si="140"/>
        <v>600</v>
      </c>
      <c r="P205" s="54">
        <f t="shared" si="140"/>
        <v>600</v>
      </c>
      <c r="Q205" s="54">
        <f t="shared" si="140"/>
        <v>1200</v>
      </c>
      <c r="R205" s="397"/>
      <c r="S205" s="49"/>
    </row>
    <row r="206" spans="2:19" hidden="1">
      <c r="B206" s="94" t="s">
        <v>533</v>
      </c>
      <c r="C206" s="76"/>
      <c r="D206" s="89"/>
      <c r="E206" s="55" t="s">
        <v>229</v>
      </c>
      <c r="F206" s="28" t="s">
        <v>329</v>
      </c>
      <c r="H206" s="414"/>
      <c r="I206" s="414"/>
      <c r="J206" s="414"/>
      <c r="K206" s="414"/>
      <c r="L206" s="414"/>
      <c r="M206" s="414"/>
      <c r="N206" s="414"/>
      <c r="O206" s="414"/>
      <c r="P206" s="414"/>
      <c r="Q206" s="414"/>
      <c r="R206" s="397"/>
      <c r="S206" s="49"/>
    </row>
    <row r="207" spans="2:19" hidden="1">
      <c r="B207" s="94" t="s">
        <v>533</v>
      </c>
      <c r="C207" s="77"/>
      <c r="D207" s="89"/>
      <c r="E207" s="49" t="s">
        <v>146</v>
      </c>
      <c r="F207" s="28" t="s">
        <v>207</v>
      </c>
      <c r="H207" s="79">
        <f>H$184*IF(H206="",H205,H206)</f>
        <v>0</v>
      </c>
      <c r="I207" s="79">
        <f t="shared" ref="I207" si="141">I$184*IF(I206="",I205,I206)</f>
        <v>0</v>
      </c>
      <c r="J207" s="79">
        <f t="shared" ref="J207" si="142">J$184*IF(J206="",J205,J206)</f>
        <v>0</v>
      </c>
      <c r="K207" s="79">
        <f t="shared" ref="K207" si="143">K$184*IF(K206="",K205,K206)</f>
        <v>0</v>
      </c>
      <c r="L207" s="79">
        <f t="shared" ref="L207" si="144">L$184*IF(L206="",L205,L206)</f>
        <v>0</v>
      </c>
      <c r="M207" s="79">
        <f t="shared" ref="M207" si="145">M$184*IF(M206="",M205,M206)</f>
        <v>0</v>
      </c>
      <c r="N207" s="79">
        <f t="shared" ref="N207" si="146">N$184*IF(N206="",N205,N206)</f>
        <v>0</v>
      </c>
      <c r="O207" s="79">
        <f t="shared" ref="O207" si="147">O$184*IF(O206="",O205,O206)</f>
        <v>0</v>
      </c>
      <c r="P207" s="79">
        <f t="shared" ref="P207" si="148">P$184*IF(P206="",P205,P206)</f>
        <v>0</v>
      </c>
      <c r="Q207" s="79">
        <f t="shared" ref="Q207" si="149">Q$184*IF(Q206="",Q205,Q206)</f>
        <v>0</v>
      </c>
      <c r="R207" s="397"/>
      <c r="S207" s="49"/>
    </row>
    <row r="208" spans="2:19" ht="56.25" hidden="1">
      <c r="B208" s="94" t="s">
        <v>533</v>
      </c>
      <c r="C208" s="75" t="s">
        <v>396</v>
      </c>
      <c r="D208" s="89"/>
      <c r="E208" s="49" t="s">
        <v>357</v>
      </c>
      <c r="F208" s="28" t="s">
        <v>123</v>
      </c>
      <c r="H208" s="412" t="s">
        <v>397</v>
      </c>
      <c r="I208" s="412" t="s">
        <v>398</v>
      </c>
      <c r="J208" s="412" t="s">
        <v>399</v>
      </c>
      <c r="K208" s="412" t="s">
        <v>400</v>
      </c>
      <c r="L208" s="412" t="s">
        <v>401</v>
      </c>
      <c r="M208" s="412" t="s">
        <v>402</v>
      </c>
      <c r="N208" s="412" t="s">
        <v>671</v>
      </c>
      <c r="O208" s="412" t="s">
        <v>672</v>
      </c>
      <c r="P208" s="412" t="s">
        <v>403</v>
      </c>
      <c r="Q208" s="412" t="s">
        <v>404</v>
      </c>
      <c r="R208" s="397"/>
      <c r="S208" s="49"/>
    </row>
    <row r="209" spans="2:19" hidden="1">
      <c r="B209" s="94" t="s">
        <v>533</v>
      </c>
      <c r="C209" s="76"/>
      <c r="D209" s="89"/>
      <c r="E209" s="49" t="s">
        <v>227</v>
      </c>
      <c r="F209" s="28" t="s">
        <v>299</v>
      </c>
      <c r="H209" s="54">
        <f t="shared" ref="H209:Q209" si="150">IF(H185=Arid,0,_xlfn.XLOOKUP(H208,Plant_and_seed_apply_water_names_CS,Plant_and_seed_apply_water_rates_CS))</f>
        <v>167.66666666666666</v>
      </c>
      <c r="I209" s="54">
        <f t="shared" si="150"/>
        <v>167.66666666666666</v>
      </c>
      <c r="J209" s="54">
        <f t="shared" si="150"/>
        <v>167.66666666666666</v>
      </c>
      <c r="K209" s="54">
        <f t="shared" si="150"/>
        <v>167.66666666666666</v>
      </c>
      <c r="L209" s="54">
        <f t="shared" si="150"/>
        <v>167.66666666666666</v>
      </c>
      <c r="M209" s="54">
        <f t="shared" si="150"/>
        <v>167.66666666666666</v>
      </c>
      <c r="N209" s="54">
        <f t="shared" si="150"/>
        <v>188.625</v>
      </c>
      <c r="O209" s="54">
        <f t="shared" si="150"/>
        <v>188.625</v>
      </c>
      <c r="P209" s="54">
        <f t="shared" si="150"/>
        <v>18.862500000000001</v>
      </c>
      <c r="Q209" s="54">
        <f t="shared" si="150"/>
        <v>18.862500000000001</v>
      </c>
      <c r="R209" s="397"/>
      <c r="S209" s="49"/>
    </row>
    <row r="210" spans="2:19" hidden="1">
      <c r="B210" s="94" t="s">
        <v>533</v>
      </c>
      <c r="C210" s="76"/>
      <c r="D210" s="89"/>
      <c r="E210" s="55" t="s">
        <v>229</v>
      </c>
      <c r="F210" s="28" t="s">
        <v>329</v>
      </c>
      <c r="H210" s="414"/>
      <c r="I210" s="414"/>
      <c r="J210" s="414"/>
      <c r="K210" s="414"/>
      <c r="L210" s="414"/>
      <c r="M210" s="414"/>
      <c r="N210" s="414"/>
      <c r="O210" s="414"/>
      <c r="P210" s="414"/>
      <c r="Q210" s="414"/>
      <c r="R210" s="397"/>
      <c r="S210" s="49"/>
    </row>
    <row r="211" spans="2:19" hidden="1">
      <c r="B211" s="94" t="s">
        <v>533</v>
      </c>
      <c r="C211" s="77"/>
      <c r="D211" s="90"/>
      <c r="E211" s="49" t="s">
        <v>146</v>
      </c>
      <c r="F211" s="28" t="s">
        <v>207</v>
      </c>
      <c r="H211" s="79">
        <f>H$184*IF(H210="",H209,H210)</f>
        <v>0</v>
      </c>
      <c r="I211" s="79">
        <f t="shared" ref="I211" si="151">I$184*IF(I210="",I209,I210)</f>
        <v>0</v>
      </c>
      <c r="J211" s="79">
        <f t="shared" ref="J211" si="152">J$184*IF(J210="",J209,J210)</f>
        <v>0</v>
      </c>
      <c r="K211" s="79">
        <f t="shared" ref="K211" si="153">K$184*IF(K210="",K209,K210)</f>
        <v>0</v>
      </c>
      <c r="L211" s="79">
        <f t="shared" ref="L211" si="154">L$184*IF(L210="",L209,L210)</f>
        <v>0</v>
      </c>
      <c r="M211" s="79">
        <f t="shared" ref="M211" si="155">M$184*IF(M210="",M209,M210)</f>
        <v>0</v>
      </c>
      <c r="N211" s="79">
        <f t="shared" ref="N211" si="156">N$184*IF(N210="",N209,N210)</f>
        <v>0</v>
      </c>
      <c r="O211" s="79">
        <f t="shared" ref="O211" si="157">O$184*IF(O210="",O209,O210)</f>
        <v>0</v>
      </c>
      <c r="P211" s="79">
        <f t="shared" ref="P211" si="158">P$184*IF(P210="",P209,P210)</f>
        <v>0</v>
      </c>
      <c r="Q211" s="79">
        <f t="shared" ref="Q211" si="159">Q$184*IF(Q210="",Q209,Q210)</f>
        <v>0</v>
      </c>
      <c r="R211" s="397"/>
      <c r="S211" s="49"/>
    </row>
    <row r="212" spans="2:19" hidden="1">
      <c r="B212" s="94" t="s">
        <v>533</v>
      </c>
      <c r="C212" s="158"/>
      <c r="D212" s="66"/>
      <c r="E212" s="67" t="str">
        <f>C182</f>
        <v>Revegetation</v>
      </c>
      <c r="F212" s="72"/>
      <c r="G212" s="63"/>
      <c r="H212" s="80">
        <f>H191+H195+H199+H203+H207+H211</f>
        <v>0</v>
      </c>
      <c r="I212" s="80">
        <f t="shared" ref="I212:Q212" si="160">I191+I195+I199+I203+I207+I211</f>
        <v>0</v>
      </c>
      <c r="J212" s="80">
        <f t="shared" si="160"/>
        <v>0</v>
      </c>
      <c r="K212" s="80">
        <f t="shared" si="160"/>
        <v>0</v>
      </c>
      <c r="L212" s="80">
        <f t="shared" si="160"/>
        <v>0</v>
      </c>
      <c r="M212" s="80">
        <f t="shared" si="160"/>
        <v>0</v>
      </c>
      <c r="N212" s="80">
        <f t="shared" si="160"/>
        <v>0</v>
      </c>
      <c r="O212" s="80">
        <f t="shared" si="160"/>
        <v>0</v>
      </c>
      <c r="P212" s="80">
        <f t="shared" si="160"/>
        <v>0</v>
      </c>
      <c r="Q212" s="80">
        <f t="shared" si="160"/>
        <v>0</v>
      </c>
      <c r="R212" s="397"/>
      <c r="S212" s="49"/>
    </row>
    <row r="213" spans="2:19" ht="67.5" hidden="1">
      <c r="B213" s="94" t="s">
        <v>533</v>
      </c>
      <c r="C213" s="159" t="s">
        <v>534</v>
      </c>
      <c r="D213" s="59"/>
      <c r="E213" s="48" t="s">
        <v>55</v>
      </c>
      <c r="F213" s="28" t="s">
        <v>123</v>
      </c>
      <c r="H213" s="462" t="s">
        <v>889</v>
      </c>
      <c r="I213" s="462" t="s">
        <v>742</v>
      </c>
      <c r="J213" s="462" t="s">
        <v>743</v>
      </c>
      <c r="K213" s="462" t="s">
        <v>536</v>
      </c>
      <c r="L213" s="462" t="s">
        <v>537</v>
      </c>
      <c r="M213" s="462" t="s">
        <v>538</v>
      </c>
      <c r="N213" s="462" t="s">
        <v>535</v>
      </c>
      <c r="O213" s="462" t="s">
        <v>535</v>
      </c>
      <c r="P213" s="462" t="s">
        <v>535</v>
      </c>
      <c r="Q213" s="462" t="s">
        <v>535</v>
      </c>
      <c r="R213" s="397"/>
      <c r="S213" s="49"/>
    </row>
    <row r="214" spans="2:19" hidden="1">
      <c r="B214" s="94" t="s">
        <v>533</v>
      </c>
      <c r="C214" s="52"/>
      <c r="D214" s="60"/>
      <c r="E214" s="48" t="s">
        <v>214</v>
      </c>
      <c r="F214" s="28" t="s">
        <v>299</v>
      </c>
      <c r="H214" s="455"/>
      <c r="I214" s="455"/>
      <c r="J214" s="455"/>
      <c r="K214" s="455"/>
      <c r="L214" s="455"/>
      <c r="M214" s="455"/>
      <c r="N214" s="455"/>
      <c r="O214" s="455"/>
      <c r="P214" s="455"/>
      <c r="Q214" s="455"/>
      <c r="R214" s="397"/>
      <c r="S214" s="49"/>
    </row>
    <row r="215" spans="2:19" hidden="1">
      <c r="B215" s="94" t="s">
        <v>533</v>
      </c>
      <c r="C215" s="52"/>
      <c r="D215" s="60"/>
      <c r="E215" s="48" t="s">
        <v>204</v>
      </c>
      <c r="F215" s="28" t="s">
        <v>329</v>
      </c>
      <c r="H215" s="92">
        <f t="shared" ref="H215:Q215" si="161">_xlfn.XLOOKUP(H213,Maintenance_rehab_areas_names_CS,Maintenance_rehab_areas_rates_CS)</f>
        <v>156.38726940000001</v>
      </c>
      <c r="I215" s="92">
        <f t="shared" si="161"/>
        <v>473.09634541637763</v>
      </c>
      <c r="J215" s="92">
        <f t="shared" si="161"/>
        <v>1266.6334079070016</v>
      </c>
      <c r="K215" s="92">
        <f t="shared" si="161"/>
        <v>1978.1198943934883</v>
      </c>
      <c r="L215" s="92">
        <f t="shared" si="161"/>
        <v>3401.0928673664612</v>
      </c>
      <c r="M215" s="92">
        <f t="shared" si="161"/>
        <v>27579.416003948303</v>
      </c>
      <c r="N215" s="92">
        <f t="shared" si="161"/>
        <v>1047.9768316769243</v>
      </c>
      <c r="O215" s="92">
        <f t="shared" si="161"/>
        <v>1047.9768316769243</v>
      </c>
      <c r="P215" s="92">
        <f t="shared" si="161"/>
        <v>1047.9768316769243</v>
      </c>
      <c r="Q215" s="92">
        <f t="shared" si="161"/>
        <v>1047.9768316769243</v>
      </c>
      <c r="R215" s="397"/>
      <c r="S215" s="49"/>
    </row>
    <row r="216" spans="2:19" hidden="1">
      <c r="B216" s="94" t="s">
        <v>533</v>
      </c>
      <c r="C216" s="52"/>
      <c r="D216" s="60"/>
      <c r="E216" s="48" t="s">
        <v>206</v>
      </c>
      <c r="F216" s="28" t="s">
        <v>329</v>
      </c>
      <c r="H216" s="414"/>
      <c r="I216" s="414"/>
      <c r="J216" s="414"/>
      <c r="K216" s="414"/>
      <c r="L216" s="414"/>
      <c r="M216" s="414"/>
      <c r="N216" s="414"/>
      <c r="O216" s="414"/>
      <c r="P216" s="414"/>
      <c r="Q216" s="414"/>
      <c r="R216" s="397"/>
      <c r="S216" s="49"/>
    </row>
    <row r="217" spans="2:19" hidden="1">
      <c r="B217" s="94" t="s">
        <v>533</v>
      </c>
      <c r="C217" s="56"/>
      <c r="D217" s="45"/>
      <c r="E217" s="48" t="s">
        <v>146</v>
      </c>
      <c r="F217" s="28" t="s">
        <v>207</v>
      </c>
      <c r="H217" s="73">
        <f t="shared" ref="H217:Q217" si="162">H214*IF(H216="",H215,H216)</f>
        <v>0</v>
      </c>
      <c r="I217" s="73">
        <f t="shared" si="162"/>
        <v>0</v>
      </c>
      <c r="J217" s="73">
        <f t="shared" si="162"/>
        <v>0</v>
      </c>
      <c r="K217" s="73">
        <f t="shared" si="162"/>
        <v>0</v>
      </c>
      <c r="L217" s="73">
        <f t="shared" si="162"/>
        <v>0</v>
      </c>
      <c r="M217" s="73">
        <f t="shared" si="162"/>
        <v>0</v>
      </c>
      <c r="N217" s="73">
        <f t="shared" si="162"/>
        <v>0</v>
      </c>
      <c r="O217" s="73">
        <f t="shared" si="162"/>
        <v>0</v>
      </c>
      <c r="P217" s="73">
        <f t="shared" si="162"/>
        <v>0</v>
      </c>
      <c r="Q217" s="73">
        <f t="shared" si="162"/>
        <v>0</v>
      </c>
      <c r="R217" s="397"/>
      <c r="S217" s="49"/>
    </row>
    <row r="218" spans="2:19" hidden="1">
      <c r="B218" s="94" t="s">
        <v>533</v>
      </c>
      <c r="C218" s="203"/>
      <c r="D218" s="155" t="str">
        <f>C213</f>
        <v>Maintenance of Rehabilitated Areas and Repairs</v>
      </c>
      <c r="E218" s="96" t="str">
        <f>C213</f>
        <v>Maintenance of Rehabilitated Areas and Repairs</v>
      </c>
      <c r="F218" s="61"/>
      <c r="G218" s="62"/>
      <c r="H218" s="97">
        <f>H217</f>
        <v>0</v>
      </c>
      <c r="I218" s="97">
        <f t="shared" ref="I218:Q218" si="163">I217</f>
        <v>0</v>
      </c>
      <c r="J218" s="97">
        <f t="shared" si="163"/>
        <v>0</v>
      </c>
      <c r="K218" s="97">
        <f t="shared" si="163"/>
        <v>0</v>
      </c>
      <c r="L218" s="97">
        <f t="shared" si="163"/>
        <v>0</v>
      </c>
      <c r="M218" s="97">
        <f t="shared" si="163"/>
        <v>0</v>
      </c>
      <c r="N218" s="97">
        <f t="shared" si="163"/>
        <v>0</v>
      </c>
      <c r="O218" s="97">
        <f t="shared" si="163"/>
        <v>0</v>
      </c>
      <c r="P218" s="97">
        <f t="shared" si="163"/>
        <v>0</v>
      </c>
      <c r="Q218" s="97">
        <f t="shared" si="163"/>
        <v>0</v>
      </c>
      <c r="R218" s="397"/>
      <c r="S218" s="49"/>
    </row>
    <row r="219" spans="2:19" hidden="1">
      <c r="B219" s="94" t="s">
        <v>533</v>
      </c>
      <c r="C219" s="564" t="s">
        <v>751</v>
      </c>
      <c r="D219" s="565" t="s">
        <v>751</v>
      </c>
      <c r="E219" s="565" t="s">
        <v>751</v>
      </c>
      <c r="F219" s="28" t="s">
        <v>207</v>
      </c>
      <c r="H219" s="468">
        <v>0</v>
      </c>
      <c r="I219" s="468">
        <v>0</v>
      </c>
      <c r="J219" s="468">
        <v>0</v>
      </c>
      <c r="K219" s="468">
        <v>0</v>
      </c>
      <c r="L219" s="468">
        <v>0</v>
      </c>
      <c r="M219" s="468">
        <v>0</v>
      </c>
      <c r="N219" s="468">
        <v>0</v>
      </c>
      <c r="O219" s="468">
        <v>0</v>
      </c>
      <c r="P219" s="468">
        <v>0</v>
      </c>
      <c r="Q219" s="468">
        <v>0</v>
      </c>
      <c r="R219" s="397"/>
      <c r="S219" s="49"/>
    </row>
    <row r="220" spans="2:19" hidden="1">
      <c r="B220" s="94" t="s">
        <v>533</v>
      </c>
      <c r="C220" s="564" t="s">
        <v>751</v>
      </c>
      <c r="D220" s="565" t="s">
        <v>751</v>
      </c>
      <c r="E220" s="565" t="s">
        <v>751</v>
      </c>
      <c r="F220" s="28" t="s">
        <v>207</v>
      </c>
      <c r="H220" s="468">
        <v>0</v>
      </c>
      <c r="I220" s="468">
        <v>0</v>
      </c>
      <c r="J220" s="468">
        <v>0</v>
      </c>
      <c r="K220" s="468">
        <v>0</v>
      </c>
      <c r="L220" s="468">
        <v>0</v>
      </c>
      <c r="M220" s="468">
        <v>0</v>
      </c>
      <c r="N220" s="468">
        <v>0</v>
      </c>
      <c r="O220" s="468">
        <v>0</v>
      </c>
      <c r="P220" s="468">
        <v>0</v>
      </c>
      <c r="Q220" s="468">
        <v>0</v>
      </c>
      <c r="R220" s="397"/>
      <c r="S220" s="49"/>
    </row>
    <row r="221" spans="2:19" hidden="1">
      <c r="B221" s="94" t="s">
        <v>533</v>
      </c>
      <c r="C221" s="564" t="s">
        <v>751</v>
      </c>
      <c r="D221" s="565" t="s">
        <v>751</v>
      </c>
      <c r="E221" s="565" t="s">
        <v>751</v>
      </c>
      <c r="F221" s="28" t="s">
        <v>207</v>
      </c>
      <c r="H221" s="468">
        <v>0</v>
      </c>
      <c r="I221" s="468">
        <v>0</v>
      </c>
      <c r="J221" s="468">
        <v>0</v>
      </c>
      <c r="K221" s="468">
        <v>0</v>
      </c>
      <c r="L221" s="468">
        <v>0</v>
      </c>
      <c r="M221" s="468">
        <v>0</v>
      </c>
      <c r="N221" s="468">
        <v>0</v>
      </c>
      <c r="O221" s="468">
        <v>0</v>
      </c>
      <c r="P221" s="468">
        <v>0</v>
      </c>
      <c r="Q221" s="468">
        <v>0</v>
      </c>
      <c r="R221" s="397"/>
      <c r="S221" s="49"/>
    </row>
    <row r="222" spans="2:19" hidden="1">
      <c r="B222" s="94" t="s">
        <v>533</v>
      </c>
      <c r="C222" s="564" t="s">
        <v>751</v>
      </c>
      <c r="D222" s="565" t="s">
        <v>751</v>
      </c>
      <c r="E222" s="565" t="s">
        <v>751</v>
      </c>
      <c r="F222" s="28" t="s">
        <v>207</v>
      </c>
      <c r="H222" s="468">
        <v>0</v>
      </c>
      <c r="I222" s="468">
        <v>0</v>
      </c>
      <c r="J222" s="468">
        <v>0</v>
      </c>
      <c r="K222" s="468">
        <v>0</v>
      </c>
      <c r="L222" s="468">
        <v>0</v>
      </c>
      <c r="M222" s="468">
        <v>0</v>
      </c>
      <c r="N222" s="468">
        <v>0</v>
      </c>
      <c r="O222" s="468">
        <v>0</v>
      </c>
      <c r="P222" s="468">
        <v>0</v>
      </c>
      <c r="Q222" s="468">
        <v>0</v>
      </c>
      <c r="R222" s="397"/>
      <c r="S222" s="49"/>
    </row>
    <row r="223" spans="2:19" hidden="1">
      <c r="B223" s="94" t="s">
        <v>533</v>
      </c>
      <c r="C223" s="564" t="s">
        <v>751</v>
      </c>
      <c r="D223" s="565" t="s">
        <v>751</v>
      </c>
      <c r="E223" s="565" t="s">
        <v>751</v>
      </c>
      <c r="F223" s="28" t="s">
        <v>207</v>
      </c>
      <c r="H223" s="468">
        <v>0</v>
      </c>
      <c r="I223" s="468">
        <v>0</v>
      </c>
      <c r="J223" s="468">
        <v>0</v>
      </c>
      <c r="K223" s="468">
        <v>0</v>
      </c>
      <c r="L223" s="468">
        <v>0</v>
      </c>
      <c r="M223" s="468">
        <v>0</v>
      </c>
      <c r="N223" s="468">
        <v>0</v>
      </c>
      <c r="O223" s="468">
        <v>0</v>
      </c>
      <c r="P223" s="468">
        <v>0</v>
      </c>
      <c r="Q223" s="468">
        <v>0</v>
      </c>
      <c r="R223" s="397"/>
      <c r="S223" s="49"/>
    </row>
    <row r="224" spans="2:19" ht="12" hidden="1" thickBot="1">
      <c r="B224" s="94" t="s">
        <v>533</v>
      </c>
      <c r="C224" s="158"/>
      <c r="D224" s="66"/>
      <c r="E224" s="67" t="s">
        <v>173</v>
      </c>
      <c r="F224" s="72"/>
      <c r="G224" s="63"/>
      <c r="H224" s="64">
        <f t="shared" ref="H224:Q224" si="164">SUM(H219:H223)</f>
        <v>0</v>
      </c>
      <c r="I224" s="64">
        <f t="shared" si="164"/>
        <v>0</v>
      </c>
      <c r="J224" s="64">
        <f t="shared" si="164"/>
        <v>0</v>
      </c>
      <c r="K224" s="64">
        <f t="shared" si="164"/>
        <v>0</v>
      </c>
      <c r="L224" s="64">
        <f t="shared" si="164"/>
        <v>0</v>
      </c>
      <c r="M224" s="64">
        <f t="shared" si="164"/>
        <v>0</v>
      </c>
      <c r="N224" s="64">
        <f t="shared" si="164"/>
        <v>0</v>
      </c>
      <c r="O224" s="64">
        <f t="shared" si="164"/>
        <v>0</v>
      </c>
      <c r="P224" s="64">
        <f t="shared" si="164"/>
        <v>0</v>
      </c>
      <c r="Q224" s="64">
        <f t="shared" si="164"/>
        <v>0</v>
      </c>
      <c r="R224" s="397"/>
      <c r="S224" s="49"/>
    </row>
    <row r="225" spans="2:2">
      <c r="B225" s="94" t="s">
        <v>123</v>
      </c>
    </row>
    <row r="226" spans="2:2">
      <c r="B226" s="94"/>
    </row>
  </sheetData>
  <sheetProtection algorithmName="SHA-512" hashValue="hakB1/TllQ822yvDlBf+Z360Zv79Fgdq956UcPqlaLw0Qkc64py62Kx99a0YAhe0WbKr5IKCGNFpMo2FJQ0p3w==" saltValue="wzrF6Sz8BbbfrQFXjwTCCg==" spinCount="100000" sheet="1" objects="1" scenarios="1" autoFilter="0"/>
  <autoFilter ref="B79:B225" xr:uid="{AE3599D7-FCCB-46AF-B477-A64F633ADC70}">
    <filterColumn colId="0">
      <filters>
        <filter val="Select"/>
      </filters>
    </filterColumn>
  </autoFilter>
  <phoneticPr fontId="21" type="noConversion"/>
  <conditionalFormatting sqref="H39:P39">
    <cfRule type="notContainsBlanks" dxfId="178" priority="40">
      <formula>LEN(TRIM(H39))&gt;0</formula>
    </cfRule>
  </conditionalFormatting>
  <conditionalFormatting sqref="H172:P172">
    <cfRule type="notContainsBlanks" dxfId="177" priority="23">
      <formula>LEN(TRIM(H172))&gt;0</formula>
    </cfRule>
  </conditionalFormatting>
  <conditionalFormatting sqref="H13:Q13">
    <cfRule type="notContainsBlanks" dxfId="176" priority="45">
      <formula>LEN(TRIM(H13))&gt;0</formula>
    </cfRule>
  </conditionalFormatting>
  <conditionalFormatting sqref="H18:Q18">
    <cfRule type="notContainsBlanks" dxfId="175" priority="44">
      <formula>LEN(TRIM(H18))&gt;0</formula>
    </cfRule>
  </conditionalFormatting>
  <conditionalFormatting sqref="H24:Q24">
    <cfRule type="notContainsBlanks" dxfId="174" priority="43">
      <formula>LEN(TRIM(H24))&gt;0</formula>
    </cfRule>
  </conditionalFormatting>
  <conditionalFormatting sqref="H29:Q29">
    <cfRule type="notContainsBlanks" dxfId="173" priority="42">
      <formula>LEN(TRIM(H29))&gt;0</formula>
    </cfRule>
  </conditionalFormatting>
  <conditionalFormatting sqref="H34:Q34">
    <cfRule type="notContainsBlanks" dxfId="172" priority="41">
      <formula>LEN(TRIM(H34))&gt;0</formula>
    </cfRule>
  </conditionalFormatting>
  <conditionalFormatting sqref="H43:Q43">
    <cfRule type="notContainsBlanks" dxfId="171" priority="39">
      <formula>LEN(TRIM(H43))&gt;0</formula>
    </cfRule>
  </conditionalFormatting>
  <conditionalFormatting sqref="H48:Q48">
    <cfRule type="notContainsBlanks" dxfId="170" priority="38">
      <formula>LEN(TRIM(H48))&gt;0</formula>
    </cfRule>
  </conditionalFormatting>
  <conditionalFormatting sqref="H54:Q54">
    <cfRule type="notContainsBlanks" dxfId="169" priority="37">
      <formula>LEN(TRIM(H54))&gt;0</formula>
    </cfRule>
  </conditionalFormatting>
  <conditionalFormatting sqref="H58:Q58">
    <cfRule type="notContainsBlanks" dxfId="168" priority="36">
      <formula>LEN(TRIM(H58))&gt;0</formula>
    </cfRule>
  </conditionalFormatting>
  <conditionalFormatting sqref="H64:Q64">
    <cfRule type="notContainsBlanks" dxfId="167" priority="35">
      <formula>LEN(TRIM(H64))&gt;0</formula>
    </cfRule>
  </conditionalFormatting>
  <conditionalFormatting sqref="H70:Q70">
    <cfRule type="notContainsBlanks" dxfId="166" priority="34">
      <formula>LEN(TRIM(H70))&gt;0</formula>
    </cfRule>
  </conditionalFormatting>
  <conditionalFormatting sqref="H75:Q75">
    <cfRule type="notContainsBlanks" dxfId="165" priority="33">
      <formula>LEN(TRIM(H75))&gt;0</formula>
    </cfRule>
  </conditionalFormatting>
  <conditionalFormatting sqref="H103:Q103">
    <cfRule type="containsText" dxfId="164" priority="47" operator="containsText" text="out">
      <formula>NOT(ISERROR(SEARCH("out",H103)))</formula>
    </cfRule>
  </conditionalFormatting>
  <conditionalFormatting sqref="H109:Q109">
    <cfRule type="notContainsBlanks" dxfId="163" priority="32">
      <formula>LEN(TRIM(H109))&gt;0</formula>
    </cfRule>
  </conditionalFormatting>
  <conditionalFormatting sqref="H115:Q115">
    <cfRule type="notContainsBlanks" dxfId="162" priority="31">
      <formula>LEN(TRIM(H115))&gt;0</formula>
    </cfRule>
  </conditionalFormatting>
  <conditionalFormatting sqref="H122:Q122">
    <cfRule type="notContainsBlanks" dxfId="161" priority="30">
      <formula>LEN(TRIM(H122))&gt;0</formula>
    </cfRule>
  </conditionalFormatting>
  <conditionalFormatting sqref="H128:Q128">
    <cfRule type="notContainsBlanks" dxfId="160" priority="29">
      <formula>LEN(TRIM(H128))&gt;0</formula>
    </cfRule>
  </conditionalFormatting>
  <conditionalFormatting sqref="H136:Q136">
    <cfRule type="notContainsBlanks" dxfId="159" priority="28">
      <formula>LEN(TRIM(H136))&gt;0</formula>
    </cfRule>
  </conditionalFormatting>
  <conditionalFormatting sqref="H139:Q139">
    <cfRule type="notContainsBlanks" dxfId="158" priority="27">
      <formula>LEN(TRIM(H139))&gt;0</formula>
    </cfRule>
  </conditionalFormatting>
  <conditionalFormatting sqref="H154:Q154">
    <cfRule type="notContainsBlanks" dxfId="157" priority="26">
      <formula>LEN(TRIM(H154))&gt;0</formula>
    </cfRule>
  </conditionalFormatting>
  <conditionalFormatting sqref="H158:Q158">
    <cfRule type="notContainsBlanks" dxfId="156" priority="25">
      <formula>LEN(TRIM(H158))&gt;0</formula>
    </cfRule>
  </conditionalFormatting>
  <conditionalFormatting sqref="H162:Q162">
    <cfRule type="notContainsBlanks" dxfId="155" priority="24">
      <formula>LEN(TRIM(H162))&gt;0</formula>
    </cfRule>
  </conditionalFormatting>
  <conditionalFormatting sqref="H176:Q176">
    <cfRule type="notContainsBlanks" dxfId="154" priority="22">
      <formula>LEN(TRIM(H176))&gt;0</formula>
    </cfRule>
  </conditionalFormatting>
  <conditionalFormatting sqref="H178:Q178">
    <cfRule type="notContainsBlanks" dxfId="153" priority="21">
      <formula>LEN(TRIM(H178))&gt;0</formula>
    </cfRule>
  </conditionalFormatting>
  <conditionalFormatting sqref="H188:Q188">
    <cfRule type="notContainsBlanks" dxfId="152" priority="6">
      <formula>LEN(TRIM(H188))&gt;0</formula>
    </cfRule>
  </conditionalFormatting>
  <conditionalFormatting sqref="H194:Q194">
    <cfRule type="notContainsBlanks" dxfId="151" priority="5">
      <formula>LEN(TRIM(H194))&gt;0</formula>
    </cfRule>
  </conditionalFormatting>
  <conditionalFormatting sqref="H198:Q198">
    <cfRule type="notContainsBlanks" dxfId="150" priority="4">
      <formula>LEN(TRIM(H198))&gt;0</formula>
    </cfRule>
  </conditionalFormatting>
  <conditionalFormatting sqref="H202:Q202">
    <cfRule type="notContainsBlanks" dxfId="149" priority="3">
      <formula>LEN(TRIM(H202))&gt;0</formula>
    </cfRule>
  </conditionalFormatting>
  <conditionalFormatting sqref="H206:Q206">
    <cfRule type="notContainsBlanks" dxfId="148" priority="2">
      <formula>LEN(TRIM(H206))&gt;0</formula>
    </cfRule>
  </conditionalFormatting>
  <conditionalFormatting sqref="H210:Q210">
    <cfRule type="notContainsBlanks" dxfId="147" priority="1">
      <formula>LEN(TRIM(H210))&gt;0</formula>
    </cfRule>
  </conditionalFormatting>
  <conditionalFormatting sqref="H216:Q216">
    <cfRule type="notContainsBlanks" dxfId="146" priority="13">
      <formula>LEN(TRIM(H216))&gt;0</formula>
    </cfRule>
  </conditionalFormatting>
  <dataValidations count="25">
    <dataValidation type="list" allowBlank="1" showInputMessage="1" showErrorMessage="1" sqref="H160:R160" xr:uid="{DAA96B3F-9F2E-4BC8-88EF-F6C9D3D52379}">
      <formula1>Load_haul_soil_names_CS</formula1>
    </dataValidation>
    <dataValidation type="list" allowBlank="1" showInputMessage="1" showErrorMessage="1" sqref="H185:Q185" xr:uid="{060EB044-519C-4CDB-A0AC-C5CB042D1463}">
      <formula1>Plant_and_seed_list_L</formula1>
    </dataValidation>
    <dataValidation type="list" allowBlank="1" showInputMessage="1" showErrorMessage="1" sqref="H174:Q174 H152:R152" xr:uid="{18628097-4194-4D31-B32B-8F4AAADC9162}">
      <formula1>Long_haul_soil_amend_names_volume_CS</formula1>
    </dataValidation>
    <dataValidation type="list" allowBlank="1" showInputMessage="1" showErrorMessage="1" sqref="H120:Q120 H107:Q107" xr:uid="{80E92EB7-DE83-4885-81E6-F68A073DFD7A}">
      <formula1>Load_haul_fill_names_CS</formula1>
    </dataValidation>
    <dataValidation type="list" allowBlank="1" showInputMessage="1" showErrorMessage="1" sqref="H168:Q168" xr:uid="{429E03FD-209C-4E08-9AFC-2D1EA097168D}">
      <formula1>Ameliorants_soil_L</formula1>
    </dataValidation>
    <dataValidation type="list" allowBlank="1" showInputMessage="1" showErrorMessage="1" sqref="H16:Q16" xr:uid="{F89F141B-0919-4D9B-9BCA-4E0D8B518CD1}">
      <formula1>Dam_process_names_CS</formula1>
    </dataValidation>
    <dataValidation type="list" allowBlank="1" showInputMessage="1" showErrorMessage="1" sqref="H21:Q21" xr:uid="{84CAA94A-FEBE-4A89-85FC-75C9EE92C438}">
      <formula1>Dam_raw_names_CS</formula1>
    </dataValidation>
    <dataValidation type="list" allowBlank="1" showInputMessage="1" showErrorMessage="1" sqref="H26:Q26" xr:uid="{0CE2420E-A99D-4172-A9FC-7E3FEC5F9A51}">
      <formula1>Dam_evap_names_CS</formula1>
    </dataValidation>
    <dataValidation type="list" allowBlank="1" showInputMessage="1" showErrorMessage="1" sqref="H84:Q84" xr:uid="{6AAB2955-3369-4D3F-9185-2F853D40A318}">
      <formula1>Dam_type</formula1>
    </dataValidation>
    <dataValidation type="list" allowBlank="1" showInputMessage="1" showErrorMessage="1" sqref="H85:Q85" xr:uid="{F9308635-9CE7-4F86-9BF7-186AAB46CABA}">
      <formula1>Dam_liner_select_L</formula1>
    </dataValidation>
    <dataValidation type="list" allowBlank="1" showInputMessage="1" showErrorMessage="1" sqref="H11:Q11" xr:uid="{B9608278-6572-429B-A85F-3E8CA2F11E30}">
      <formula1>Dam_names_CS</formula1>
    </dataValidation>
    <dataValidation type="list" allowBlank="1" showInputMessage="1" showErrorMessage="1" sqref="H62:Q62" xr:uid="{8AB87D3E-8580-4A55-A1FF-3439C09DFDAC}">
      <formula1>Water_treatment_names_CS</formula1>
    </dataValidation>
    <dataValidation type="list" allowBlank="1" showInputMessage="1" showErrorMessage="1" sqref="H31:Q31" xr:uid="{4362D9F4-E0E9-4E62-8725-E610ECF125E2}">
      <formula1>Clean_water_retained_names_CS</formula1>
    </dataValidation>
    <dataValidation type="list" allowBlank="1" showInputMessage="1" showErrorMessage="1" sqref="H36:Q36" xr:uid="{A0CD2529-D34E-4772-9F7C-6BB0C1ACB448}">
      <formula1>Remove_sediment_and_haul_names_CS</formula1>
    </dataValidation>
    <dataValidation type="list" allowBlank="1" showInputMessage="1" showErrorMessage="1" sqref="H192:Q192" xr:uid="{3D78B0A9-DAD0-4396-804B-D35BFE023889}">
      <formula1>Plant_and_seed_apply_plant_names_CS</formula1>
    </dataValidation>
    <dataValidation type="list" allowBlank="1" showInputMessage="1" showErrorMessage="1" sqref="H196:Q196" xr:uid="{02B2EAFA-2535-4F0D-B827-D9C688C1DD86}">
      <formula1>Plant_and_seed_fertiliser_buy_names_CS</formula1>
    </dataValidation>
    <dataValidation type="list" allowBlank="1" showInputMessage="1" showErrorMessage="1" sqref="H200:Q200" xr:uid="{D9A8DE7C-597E-4E5B-BD17-6B54124C468B}">
      <formula1>Plant_and_seed_apply_fertiliser_names_CS</formula1>
    </dataValidation>
    <dataValidation type="list" allowBlank="1" showInputMessage="1" showErrorMessage="1" sqref="H204:Q204" xr:uid="{3DFD711B-5EA5-4704-A3A2-EEACEECBE0D8}">
      <formula1>Plant_and_seed_buy_water_names_CS</formula1>
    </dataValidation>
    <dataValidation type="list" allowBlank="1" showInputMessage="1" showErrorMessage="1" sqref="H208:Q208" xr:uid="{DAE02145-6BE9-4793-A84B-1CA0AF821C2A}">
      <formula1>Plant_and_seed_apply_water_names_CS</formula1>
    </dataValidation>
    <dataValidation type="list" allowBlank="1" showInputMessage="1" showErrorMessage="1" sqref="H46:Q46" xr:uid="{892DD6C9-393A-4D1B-A7AB-90768380F1EF}">
      <formula1>Load_and_haul_water_names_CS</formula1>
    </dataValidation>
    <dataValidation type="list" allowBlank="1" showInputMessage="1" showErrorMessage="1" sqref="H52:Q52" xr:uid="{07827A92-9CF7-4572-84D9-000806E4AA4B}">
      <formula1>Load_haul_brine_names_CS</formula1>
    </dataValidation>
    <dataValidation type="list" allowBlank="1" showInputMessage="1" showErrorMessage="1" sqref="H156:Q156" xr:uid="{74878921-A713-49AF-83FB-FA05F984CE0F}">
      <formula1>Growth_media_fill_names_R</formula1>
    </dataValidation>
    <dataValidation type="list" allowBlank="1" showInputMessage="1" showErrorMessage="1" sqref="H213:Q213" xr:uid="{43032679-0F1D-474B-98E6-ECF02CE7C304}">
      <formula1>Maintenance_rehab_areas_names_CS</formula1>
    </dataValidation>
    <dataValidation type="list" allowBlank="1" showInputMessage="1" showErrorMessage="1" sqref="H113:Q113" xr:uid="{35329835-69D5-46C7-9D4C-95926FAA0D09}">
      <formula1>Dozer_push_names_CS</formula1>
    </dataValidation>
    <dataValidation type="list" allowBlank="1" showInputMessage="1" showErrorMessage="1" sqref="H132:Q132" xr:uid="{BE73E148-6417-4D95-9130-1C3436B2EE8D}">
      <formula1>Long_haul_concrete_rubble_distances_CS</formula1>
    </dataValidation>
  </dataValidations>
  <hyperlinks>
    <hyperlink ref="E5" location="RCE_Summary" display="RCE Summary" xr:uid="{331CA222-687D-45E1-85E2-A752F5164BC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49BC2-890D-4A8A-82A3-47289AC2DA63}">
  <sheetPr codeName="Sheet10" filterMode="1">
    <tabColor theme="9" tint="-0.249977111117893"/>
  </sheetPr>
  <dimension ref="B2:R291"/>
  <sheetViews>
    <sheetView showGridLines="0" tabSelected="1" zoomScale="115" zoomScaleNormal="115" workbookViewId="0">
      <pane xSplit="6" ySplit="8" topLeftCell="L9" activePane="bottomRight" state="frozen"/>
      <selection pane="topRight" activeCell="I1" sqref="I1"/>
      <selection pane="bottomLeft" activeCell="A9" sqref="A9"/>
      <selection pane="bottomRight" activeCell="M18" sqref="M18"/>
    </sheetView>
  </sheetViews>
  <sheetFormatPr defaultColWidth="8.7109375" defaultRowHeight="11.25"/>
  <cols>
    <col min="1" max="1" width="1.42578125" style="28" customWidth="1"/>
    <col min="2" max="2" width="5.140625" style="28" customWidth="1"/>
    <col min="3" max="3" width="37.42578125" style="28" customWidth="1"/>
    <col min="4" max="4" width="37.5703125" style="28" bestFit="1" customWidth="1"/>
    <col min="5" max="5" width="37.42578125" style="28" bestFit="1" customWidth="1"/>
    <col min="6" max="6" width="11.85546875" style="28" customWidth="1"/>
    <col min="7" max="15" width="13.28515625" style="3" customWidth="1"/>
    <col min="16" max="16" width="14.140625" style="3" bestFit="1" customWidth="1"/>
    <col min="17" max="18" width="76.85546875" style="28" customWidth="1"/>
    <col min="19" max="19" width="34.5703125" style="28" customWidth="1"/>
    <col min="20" max="20" width="36.7109375" style="28" customWidth="1"/>
    <col min="21" max="16384" width="8.7109375" style="28"/>
  </cols>
  <sheetData>
    <row r="2" spans="2:18" ht="24.95" customHeight="1">
      <c r="C2" s="317" t="str">
        <f>Name_main</f>
        <v>Rehabilitation Cost Estimate Tool - Mining New South Wales</v>
      </c>
    </row>
    <row r="3" spans="2:18" ht="15.95" customHeight="1" thickBot="1">
      <c r="C3" s="318" t="str">
        <f>CONCATENATE(CompanyName," - ",Mine_Name)</f>
        <v>Boral Cement - Marulan South Limestone Mine</v>
      </c>
    </row>
    <row r="4" spans="2:18" ht="15.95" customHeight="1" thickTop="1" thickBot="1">
      <c r="C4" s="319" t="s">
        <v>182</v>
      </c>
      <c r="D4" s="320">
        <f>Grand_total</f>
        <v>27655414.430474937</v>
      </c>
      <c r="F4" s="323" t="s">
        <v>1004</v>
      </c>
      <c r="G4" s="519">
        <f>IF(G25=0,0,SUM(G32,G38,G55,G74,G95,G132,G148,G167,G179,G201,G218,G249,G261,G267,G284,G290)/G25)</f>
        <v>0</v>
      </c>
      <c r="H4" s="519">
        <f t="shared" ref="H4:P4" si="0">IF(H25=0,0,SUM(H32,H38,H55,H74,H95,H132,H148,H167,H179,H201,H218,H249,H261,H267,H284,H290)/H25)</f>
        <v>0</v>
      </c>
      <c r="I4" s="519">
        <f t="shared" si="0"/>
        <v>0</v>
      </c>
      <c r="J4" s="519">
        <f t="shared" si="0"/>
        <v>0</v>
      </c>
      <c r="K4" s="519">
        <f t="shared" si="0"/>
        <v>0</v>
      </c>
      <c r="L4" s="519">
        <f t="shared" si="0"/>
        <v>0</v>
      </c>
      <c r="M4" s="519">
        <f t="shared" si="0"/>
        <v>0</v>
      </c>
      <c r="N4" s="519">
        <f t="shared" si="0"/>
        <v>0</v>
      </c>
      <c r="O4" s="519">
        <f t="shared" si="0"/>
        <v>0</v>
      </c>
      <c r="P4" s="519">
        <f t="shared" si="0"/>
        <v>0</v>
      </c>
    </row>
    <row r="5" spans="2:18" ht="15.95" customHeight="1" thickTop="1" thickBot="1">
      <c r="C5" s="321" t="s">
        <v>1005</v>
      </c>
      <c r="D5" s="322">
        <f>SUM(G6:P6)</f>
        <v>3916533.76916386</v>
      </c>
      <c r="E5" s="393" t="s">
        <v>1</v>
      </c>
      <c r="F5" s="323" t="s">
        <v>1006</v>
      </c>
      <c r="G5" s="519">
        <f>IF(G12=0,0,G16/G12)</f>
        <v>27580.751092369224</v>
      </c>
      <c r="H5" s="519">
        <f t="shared" ref="H5:P5" si="1">IF(H12=0,0,H16/H12)</f>
        <v>27580.751092369224</v>
      </c>
      <c r="I5" s="519">
        <f t="shared" si="1"/>
        <v>27580.751092369224</v>
      </c>
      <c r="J5" s="519">
        <f t="shared" si="1"/>
        <v>27580.751092369224</v>
      </c>
      <c r="K5" s="519">
        <f t="shared" si="1"/>
        <v>27580.751092369224</v>
      </c>
      <c r="L5" s="519">
        <f t="shared" si="1"/>
        <v>94615.840290844586</v>
      </c>
      <c r="M5" s="519">
        <f t="shared" si="1"/>
        <v>0</v>
      </c>
      <c r="N5" s="519">
        <f t="shared" si="1"/>
        <v>0</v>
      </c>
      <c r="O5" s="519">
        <f t="shared" si="1"/>
        <v>0</v>
      </c>
      <c r="P5" s="519">
        <f t="shared" si="1"/>
        <v>0</v>
      </c>
    </row>
    <row r="6" spans="2:18" ht="15.95" customHeight="1" thickTop="1" thickBot="1">
      <c r="F6" s="323" t="s">
        <v>691</v>
      </c>
      <c r="G6" s="324">
        <f>G16+G32+G38+G55+G74+G95+G132+G148+G167+G179+G201+G218+G249+G261+G267+G284+G290</f>
        <v>2196779.2437561168</v>
      </c>
      <c r="H6" s="324">
        <f t="shared" ref="H6:P6" si="2">H16+H32+H38+H55+H74+H95+H132+H148+H167+H179+H201+H218+H249+H261+H267+H284+H290</f>
        <v>625283.20801510278</v>
      </c>
      <c r="I6" s="324">
        <f t="shared" si="2"/>
        <v>92395.516159436898</v>
      </c>
      <c r="J6" s="324">
        <f t="shared" si="2"/>
        <v>447083.97520730516</v>
      </c>
      <c r="K6" s="324">
        <f t="shared" si="2"/>
        <v>435775.86725943378</v>
      </c>
      <c r="L6" s="324">
        <f t="shared" si="2"/>
        <v>119215.95876646417</v>
      </c>
      <c r="M6" s="324">
        <f t="shared" si="2"/>
        <v>0</v>
      </c>
      <c r="N6" s="324">
        <f t="shared" si="2"/>
        <v>0</v>
      </c>
      <c r="O6" s="324">
        <f t="shared" si="2"/>
        <v>0</v>
      </c>
      <c r="P6" s="324">
        <f t="shared" si="2"/>
        <v>0</v>
      </c>
    </row>
    <row r="7" spans="2:18" ht="15.95" customHeight="1" thickTop="1">
      <c r="C7" s="476" t="s">
        <v>692</v>
      </c>
      <c r="G7" s="28"/>
      <c r="H7" s="28"/>
      <c r="I7" s="28"/>
      <c r="J7" s="28"/>
      <c r="K7" s="28"/>
      <c r="L7" s="28"/>
      <c r="M7" s="28"/>
      <c r="N7" s="28"/>
      <c r="O7" s="28"/>
      <c r="P7" s="28"/>
    </row>
    <row r="8" spans="2:18" ht="33" customHeight="1" thickBot="1">
      <c r="C8" s="477" t="s">
        <v>185</v>
      </c>
      <c r="D8" s="478" t="s">
        <v>186</v>
      </c>
      <c r="E8" s="478" t="s">
        <v>187</v>
      </c>
      <c r="F8" s="116" t="s">
        <v>415</v>
      </c>
      <c r="G8" s="501" t="s">
        <v>1007</v>
      </c>
      <c r="H8" s="501" t="s">
        <v>1008</v>
      </c>
      <c r="I8" s="501" t="s">
        <v>1009</v>
      </c>
      <c r="J8" s="501" t="s">
        <v>1010</v>
      </c>
      <c r="K8" s="501" t="s">
        <v>1011</v>
      </c>
      <c r="L8" s="501" t="s">
        <v>1012</v>
      </c>
      <c r="M8" s="501" t="s">
        <v>696</v>
      </c>
      <c r="N8" s="501" t="s">
        <v>696</v>
      </c>
      <c r="O8" s="501" t="s">
        <v>696</v>
      </c>
      <c r="P8" s="501" t="s">
        <v>696</v>
      </c>
      <c r="Q8" s="479" t="s">
        <v>190</v>
      </c>
      <c r="R8" s="328" t="s">
        <v>191</v>
      </c>
    </row>
    <row r="9" spans="2:18">
      <c r="B9" s="3"/>
      <c r="C9" s="375" t="s">
        <v>124</v>
      </c>
      <c r="D9" s="395"/>
      <c r="E9" s="395"/>
      <c r="G9" s="397"/>
      <c r="H9" s="397"/>
      <c r="I9" s="397"/>
      <c r="J9" s="397"/>
      <c r="K9" s="397"/>
      <c r="L9" s="397"/>
      <c r="M9" s="397"/>
      <c r="N9" s="397"/>
      <c r="O9" s="397"/>
      <c r="P9" s="397"/>
      <c r="Q9" s="397"/>
      <c r="R9" s="329"/>
    </row>
    <row r="10" spans="2:18" ht="22.5">
      <c r="C10" s="375" t="s">
        <v>1013</v>
      </c>
      <c r="D10" s="336" t="s">
        <v>700</v>
      </c>
      <c r="E10" s="336" t="s">
        <v>701</v>
      </c>
      <c r="G10" s="567" t="s">
        <v>1014</v>
      </c>
      <c r="H10" s="567" t="s">
        <v>1014</v>
      </c>
      <c r="I10" s="567" t="s">
        <v>1014</v>
      </c>
      <c r="J10" s="567" t="s">
        <v>1014</v>
      </c>
      <c r="K10" s="567" t="s">
        <v>1014</v>
      </c>
      <c r="L10" s="567" t="s">
        <v>1015</v>
      </c>
      <c r="M10" s="567" t="s">
        <v>1014</v>
      </c>
      <c r="N10" s="567" t="s">
        <v>1016</v>
      </c>
      <c r="O10" s="567" t="s">
        <v>1017</v>
      </c>
      <c r="P10" s="567" t="s">
        <v>1017</v>
      </c>
      <c r="Q10" s="397"/>
      <c r="R10" s="420"/>
    </row>
    <row r="11" spans="2:18" ht="45">
      <c r="C11" s="340"/>
      <c r="D11" s="335" t="s">
        <v>705</v>
      </c>
      <c r="E11" s="336" t="s">
        <v>194</v>
      </c>
      <c r="G11" s="397" t="s">
        <v>1007</v>
      </c>
      <c r="H11" s="397" t="s">
        <v>1008</v>
      </c>
      <c r="I11" s="397" t="s">
        <v>1009</v>
      </c>
      <c r="J11" s="397" t="s">
        <v>1010</v>
      </c>
      <c r="K11" s="397" t="s">
        <v>1011</v>
      </c>
      <c r="L11" s="397" t="s">
        <v>1012</v>
      </c>
      <c r="M11" s="397"/>
      <c r="N11" s="397"/>
      <c r="O11" s="397"/>
      <c r="P11" s="397"/>
      <c r="Q11" s="397"/>
      <c r="R11" s="329" t="s">
        <v>195</v>
      </c>
    </row>
    <row r="12" spans="2:18">
      <c r="C12" s="340"/>
      <c r="D12" s="335" t="s">
        <v>705</v>
      </c>
      <c r="E12" s="336" t="s">
        <v>214</v>
      </c>
      <c r="F12" s="28" t="s">
        <v>299</v>
      </c>
      <c r="G12" s="455">
        <f>6.33+8.9+25+1.52+1.45+1.71+2.702+2.104+3.5+0.63+3.52+1.2+9.86+6.963+4.26</f>
        <v>79.649000000000015</v>
      </c>
      <c r="H12" s="455">
        <f>6.23+4.25+8.18+3.1+0.911</f>
        <v>22.671000000000003</v>
      </c>
      <c r="I12" s="455">
        <v>3.35</v>
      </c>
      <c r="J12" s="455">
        <v>16.21</v>
      </c>
      <c r="K12" s="455">
        <v>15.8</v>
      </c>
      <c r="L12" s="455">
        <v>1.26</v>
      </c>
      <c r="M12" s="455"/>
      <c r="N12" s="455"/>
      <c r="O12" s="455"/>
      <c r="P12" s="455"/>
      <c r="Q12" s="397"/>
      <c r="R12" s="420"/>
    </row>
    <row r="13" spans="2:18">
      <c r="C13" s="340"/>
      <c r="D13" s="335"/>
      <c r="E13" s="336" t="s">
        <v>204</v>
      </c>
      <c r="F13" s="28" t="s">
        <v>329</v>
      </c>
      <c r="G13" s="438">
        <f t="shared" ref="G13:P13" si="3">_xlfn.XLOOKUP(G10,WRD_names_CS,WRD_rates_CS)</f>
        <v>27580.751092369224</v>
      </c>
      <c r="H13" s="438">
        <f t="shared" si="3"/>
        <v>27580.751092369224</v>
      </c>
      <c r="I13" s="438">
        <f t="shared" si="3"/>
        <v>27580.751092369224</v>
      </c>
      <c r="J13" s="438">
        <f t="shared" si="3"/>
        <v>27580.751092369224</v>
      </c>
      <c r="K13" s="438">
        <f t="shared" si="3"/>
        <v>27580.751092369224</v>
      </c>
      <c r="L13" s="438">
        <f t="shared" si="3"/>
        <v>94615.840290844586</v>
      </c>
      <c r="M13" s="438">
        <f t="shared" si="3"/>
        <v>27580.751092369224</v>
      </c>
      <c r="N13" s="438">
        <f t="shared" si="3"/>
        <v>6511.1618510906665</v>
      </c>
      <c r="O13" s="438">
        <f t="shared" si="3"/>
        <v>270449.7362609168</v>
      </c>
      <c r="P13" s="438">
        <f t="shared" si="3"/>
        <v>270449.7362609168</v>
      </c>
      <c r="Q13" s="397"/>
      <c r="R13" s="427"/>
    </row>
    <row r="14" spans="2:18">
      <c r="C14" s="340"/>
      <c r="D14" s="335" t="s">
        <v>843</v>
      </c>
      <c r="E14" s="336" t="s">
        <v>206</v>
      </c>
      <c r="F14" s="28" t="s">
        <v>329</v>
      </c>
      <c r="G14" s="414"/>
      <c r="H14" s="414"/>
      <c r="I14" s="414"/>
      <c r="J14" s="414"/>
      <c r="K14" s="414"/>
      <c r="L14" s="414"/>
      <c r="M14" s="414"/>
      <c r="N14" s="414"/>
      <c r="O14" s="414"/>
      <c r="P14" s="414"/>
      <c r="Q14" s="397"/>
      <c r="R14" s="427"/>
    </row>
    <row r="15" spans="2:18">
      <c r="C15" s="343"/>
      <c r="D15" s="379" t="s">
        <v>757</v>
      </c>
      <c r="E15" s="379" t="s">
        <v>146</v>
      </c>
      <c r="F15" s="28" t="s">
        <v>207</v>
      </c>
      <c r="G15" s="380">
        <f>G12*IF(G14="",G13,G14)</f>
        <v>2196779.2437561168</v>
      </c>
      <c r="H15" s="380">
        <f t="shared" ref="H15:P15" si="4">H12*IF(H14="",H13,H14)</f>
        <v>625283.20801510278</v>
      </c>
      <c r="I15" s="380">
        <f t="shared" si="4"/>
        <v>92395.516159436898</v>
      </c>
      <c r="J15" s="380">
        <f t="shared" si="4"/>
        <v>447083.97520730516</v>
      </c>
      <c r="K15" s="380">
        <f t="shared" si="4"/>
        <v>435775.86725943378</v>
      </c>
      <c r="L15" s="380">
        <f t="shared" si="4"/>
        <v>119215.95876646417</v>
      </c>
      <c r="M15" s="380">
        <f t="shared" si="4"/>
        <v>0</v>
      </c>
      <c r="N15" s="380">
        <f t="shared" si="4"/>
        <v>0</v>
      </c>
      <c r="O15" s="380">
        <f t="shared" si="4"/>
        <v>0</v>
      </c>
      <c r="P15" s="380">
        <f t="shared" si="4"/>
        <v>0</v>
      </c>
      <c r="Q15" s="397"/>
      <c r="R15" s="420"/>
    </row>
    <row r="16" spans="2:18">
      <c r="C16" s="551"/>
      <c r="D16" s="551"/>
      <c r="E16" s="552" t="str">
        <f>C10</f>
        <v>Default Rolled-up rates</v>
      </c>
      <c r="F16" s="62" t="s">
        <v>207</v>
      </c>
      <c r="G16" s="481">
        <f>G15</f>
        <v>2196779.2437561168</v>
      </c>
      <c r="H16" s="481">
        <f t="shared" ref="H16:P16" si="5">H15</f>
        <v>625283.20801510278</v>
      </c>
      <c r="I16" s="481">
        <f t="shared" si="5"/>
        <v>92395.516159436898</v>
      </c>
      <c r="J16" s="481">
        <f t="shared" si="5"/>
        <v>447083.97520730516</v>
      </c>
      <c r="K16" s="481">
        <f t="shared" si="5"/>
        <v>435775.86725943378</v>
      </c>
      <c r="L16" s="481">
        <f t="shared" si="5"/>
        <v>119215.95876646417</v>
      </c>
      <c r="M16" s="481">
        <f t="shared" si="5"/>
        <v>0</v>
      </c>
      <c r="N16" s="481">
        <f t="shared" si="5"/>
        <v>0</v>
      </c>
      <c r="O16" s="481">
        <f t="shared" si="5"/>
        <v>0</v>
      </c>
      <c r="P16" s="481">
        <f t="shared" si="5"/>
        <v>0</v>
      </c>
      <c r="Q16" s="397"/>
      <c r="R16" s="420"/>
    </row>
    <row r="17" spans="2:18">
      <c r="G17" s="28"/>
      <c r="H17" s="28"/>
      <c r="I17" s="28"/>
      <c r="J17" s="28"/>
      <c r="K17" s="28"/>
      <c r="L17" s="28"/>
      <c r="M17" s="28"/>
      <c r="N17" s="28"/>
      <c r="O17" s="28"/>
      <c r="P17" s="28"/>
    </row>
    <row r="18" spans="2:18" ht="12.75">
      <c r="B18" s="469"/>
      <c r="C18" s="566" t="s">
        <v>601</v>
      </c>
      <c r="G18" s="28"/>
      <c r="H18" s="28"/>
      <c r="I18" s="28"/>
      <c r="J18" s="28"/>
      <c r="K18" s="28"/>
      <c r="L18" s="28"/>
      <c r="M18" s="28"/>
      <c r="N18" s="28"/>
      <c r="O18" s="28"/>
      <c r="P18" s="28"/>
    </row>
    <row r="19" spans="2:18" ht="12.75" hidden="1">
      <c r="B19" s="94" t="s">
        <v>533</v>
      </c>
      <c r="C19" s="175" t="s">
        <v>858</v>
      </c>
      <c r="G19" s="103" t="str">
        <f t="shared" ref="G19:P19" si="6">IF(AND(G12&gt;0,G25&gt;0),"Quantities added to both tables","ok")</f>
        <v>ok</v>
      </c>
      <c r="H19" s="103" t="str">
        <f t="shared" si="6"/>
        <v>ok</v>
      </c>
      <c r="I19" s="103" t="str">
        <f t="shared" si="6"/>
        <v>ok</v>
      </c>
      <c r="J19" s="103" t="str">
        <f t="shared" si="6"/>
        <v>ok</v>
      </c>
      <c r="K19" s="103" t="str">
        <f t="shared" si="6"/>
        <v>ok</v>
      </c>
      <c r="L19" s="103" t="str">
        <f t="shared" si="6"/>
        <v>ok</v>
      </c>
      <c r="M19" s="103" t="str">
        <f t="shared" si="6"/>
        <v>ok</v>
      </c>
      <c r="N19" s="103" t="str">
        <f t="shared" si="6"/>
        <v>ok</v>
      </c>
      <c r="O19" s="103" t="str">
        <f t="shared" si="6"/>
        <v>ok</v>
      </c>
      <c r="P19" s="103" t="str">
        <f t="shared" si="6"/>
        <v>ok</v>
      </c>
      <c r="R19" s="131"/>
    </row>
    <row r="20" spans="2:18" ht="12.75" hidden="1">
      <c r="B20" s="94" t="s">
        <v>533</v>
      </c>
      <c r="C20" s="175" t="s">
        <v>941</v>
      </c>
      <c r="G20" s="28"/>
      <c r="H20" s="28"/>
      <c r="I20" s="28"/>
      <c r="J20" s="28"/>
      <c r="K20" s="28"/>
      <c r="L20" s="28"/>
      <c r="M20" s="28"/>
      <c r="N20" s="28"/>
      <c r="O20" s="28"/>
      <c r="P20" s="28"/>
    </row>
    <row r="21" spans="2:18" ht="12" hidden="1" thickBot="1">
      <c r="B21" s="94" t="s">
        <v>533</v>
      </c>
      <c r="C21" s="199" t="s">
        <v>185</v>
      </c>
      <c r="D21" s="115" t="s">
        <v>186</v>
      </c>
      <c r="E21" s="115" t="s">
        <v>187</v>
      </c>
      <c r="F21" s="116" t="s">
        <v>592</v>
      </c>
      <c r="G21" s="501" t="s">
        <v>696</v>
      </c>
      <c r="H21" s="501" t="s">
        <v>696</v>
      </c>
      <c r="I21" s="501" t="s">
        <v>696</v>
      </c>
      <c r="J21" s="501" t="s">
        <v>696</v>
      </c>
      <c r="K21" s="501" t="s">
        <v>696</v>
      </c>
      <c r="L21" s="501" t="s">
        <v>696</v>
      </c>
      <c r="M21" s="501" t="s">
        <v>696</v>
      </c>
      <c r="N21" s="501" t="s">
        <v>696</v>
      </c>
      <c r="O21" s="501" t="s">
        <v>696</v>
      </c>
      <c r="P21" s="501" t="s">
        <v>696</v>
      </c>
      <c r="Q21" s="144" t="s">
        <v>190</v>
      </c>
      <c r="R21" s="43" t="s">
        <v>191</v>
      </c>
    </row>
    <row r="22" spans="2:18" hidden="1">
      <c r="B22" s="94" t="s">
        <v>533</v>
      </c>
      <c r="C22" s="187" t="s">
        <v>124</v>
      </c>
      <c r="D22" s="397"/>
      <c r="E22" s="397"/>
      <c r="G22" s="397"/>
      <c r="H22" s="397"/>
      <c r="I22" s="397"/>
      <c r="J22" s="397"/>
      <c r="K22" s="397"/>
      <c r="L22" s="397"/>
      <c r="M22" s="397"/>
      <c r="N22" s="397"/>
      <c r="O22" s="397"/>
      <c r="P22" s="397"/>
      <c r="Q22" s="397"/>
      <c r="R22" s="44"/>
    </row>
    <row r="23" spans="2:18" ht="22.5" hidden="1">
      <c r="B23" s="94" t="s">
        <v>533</v>
      </c>
      <c r="C23" s="187" t="s">
        <v>957</v>
      </c>
      <c r="D23" s="184" t="s">
        <v>700</v>
      </c>
      <c r="E23" s="27" t="s">
        <v>701</v>
      </c>
      <c r="G23" s="567" t="s">
        <v>753</v>
      </c>
      <c r="H23" s="567" t="s">
        <v>24</v>
      </c>
      <c r="I23" s="567" t="s">
        <v>862</v>
      </c>
      <c r="J23" s="567" t="s">
        <v>754</v>
      </c>
      <c r="K23" s="567" t="s">
        <v>1014</v>
      </c>
      <c r="L23" s="567" t="s">
        <v>1016</v>
      </c>
      <c r="M23" s="567" t="s">
        <v>24</v>
      </c>
      <c r="N23" s="567" t="s">
        <v>24</v>
      </c>
      <c r="O23" s="567" t="s">
        <v>24</v>
      </c>
      <c r="P23" s="567" t="s">
        <v>24</v>
      </c>
      <c r="Q23" s="397"/>
      <c r="R23" s="49"/>
    </row>
    <row r="24" spans="2:18" hidden="1">
      <c r="B24" s="94" t="s">
        <v>533</v>
      </c>
      <c r="C24" s="183"/>
      <c r="D24" s="184" t="s">
        <v>755</v>
      </c>
      <c r="E24" s="27" t="s">
        <v>194</v>
      </c>
      <c r="G24" s="397"/>
      <c r="H24" s="397"/>
      <c r="I24" s="397"/>
      <c r="J24" s="397"/>
      <c r="K24" s="397"/>
      <c r="L24" s="397"/>
      <c r="M24" s="397"/>
      <c r="N24" s="397"/>
      <c r="O24" s="397"/>
      <c r="P24" s="397"/>
      <c r="Q24" s="397"/>
      <c r="R24" s="55"/>
    </row>
    <row r="25" spans="2:18" hidden="1">
      <c r="B25" s="94" t="s">
        <v>533</v>
      </c>
      <c r="C25" s="187" t="s">
        <v>1018</v>
      </c>
      <c r="D25" s="184" t="s">
        <v>705</v>
      </c>
      <c r="E25" s="27" t="s">
        <v>214</v>
      </c>
      <c r="F25" s="28" t="s">
        <v>299</v>
      </c>
      <c r="G25" s="555"/>
      <c r="H25" s="555"/>
      <c r="I25" s="555"/>
      <c r="J25" s="555"/>
      <c r="K25" s="555"/>
      <c r="L25" s="555"/>
      <c r="M25" s="555"/>
      <c r="N25" s="555"/>
      <c r="O25" s="555"/>
      <c r="P25" s="555"/>
      <c r="Q25" s="397"/>
      <c r="R25" s="49"/>
    </row>
    <row r="26" spans="2:18" hidden="1">
      <c r="B26" s="94" t="s">
        <v>533</v>
      </c>
      <c r="C26" s="183"/>
      <c r="D26" s="186" t="s">
        <v>757</v>
      </c>
      <c r="E26" s="47" t="s">
        <v>214</v>
      </c>
      <c r="F26" s="28" t="s">
        <v>299</v>
      </c>
      <c r="G26" s="555"/>
      <c r="H26" s="555"/>
      <c r="I26" s="555"/>
      <c r="J26" s="555"/>
      <c r="K26" s="555"/>
      <c r="L26" s="555"/>
      <c r="M26" s="555"/>
      <c r="N26" s="555"/>
      <c r="O26" s="555"/>
      <c r="P26" s="555"/>
      <c r="Q26" s="397"/>
      <c r="R26" s="49"/>
    </row>
    <row r="27" spans="2:18" hidden="1">
      <c r="B27" s="94" t="s">
        <v>533</v>
      </c>
      <c r="C27" s="200"/>
      <c r="D27" s="188"/>
      <c r="E27" s="67" t="str">
        <f>C25</f>
        <v>User Build Areas</v>
      </c>
      <c r="F27" s="72"/>
      <c r="G27" s="63"/>
      <c r="H27" s="63"/>
      <c r="I27" s="63"/>
      <c r="J27" s="63"/>
      <c r="K27" s="63"/>
      <c r="L27" s="63"/>
      <c r="M27" s="63"/>
      <c r="N27" s="63"/>
      <c r="O27" s="63"/>
      <c r="P27" s="63"/>
      <c r="Q27" s="397"/>
      <c r="R27" s="49"/>
    </row>
    <row r="28" spans="2:18" ht="33.75" hidden="1">
      <c r="B28" s="94" t="s">
        <v>533</v>
      </c>
      <c r="C28" s="187" t="s">
        <v>1019</v>
      </c>
      <c r="D28" s="189" t="s">
        <v>1020</v>
      </c>
      <c r="E28" s="47" t="s">
        <v>735</v>
      </c>
      <c r="F28" s="28" t="s">
        <v>123</v>
      </c>
      <c r="G28" s="503" t="s">
        <v>736</v>
      </c>
      <c r="H28" s="503" t="s">
        <v>737</v>
      </c>
      <c r="I28" s="503" t="s">
        <v>737</v>
      </c>
      <c r="J28" s="503" t="s">
        <v>737</v>
      </c>
      <c r="K28" s="503" t="s">
        <v>736</v>
      </c>
      <c r="L28" s="503" t="s">
        <v>736</v>
      </c>
      <c r="M28" s="503" t="s">
        <v>737</v>
      </c>
      <c r="N28" s="503" t="s">
        <v>737</v>
      </c>
      <c r="O28" s="503" t="s">
        <v>737</v>
      </c>
      <c r="P28" s="503" t="s">
        <v>737</v>
      </c>
      <c r="Q28" s="397"/>
      <c r="R28" s="49"/>
    </row>
    <row r="29" spans="2:18" hidden="1">
      <c r="B29" s="94" t="s">
        <v>533</v>
      </c>
      <c r="C29" s="183"/>
      <c r="D29" s="189"/>
      <c r="E29" s="47" t="s">
        <v>227</v>
      </c>
      <c r="F29" s="28" t="s">
        <v>329</v>
      </c>
      <c r="G29" s="54">
        <f>IF(OR(G23=Lists!$B$67,G23=No_risk_ob_piles),_xlfn.XLOOKUP(G28,Dozer_shape_doze_for_drainage_names_CS,Dozer_shape_doze_for_drainage_rates_CS),0)</f>
        <v>0</v>
      </c>
      <c r="H29" s="54">
        <f>IF(OR(H23=Lists!$B$67,H23=No_risk_ob_piles),_xlfn.XLOOKUP(H28,Dozer_shape_doze_for_drainage_names_CS,Dozer_shape_doze_for_drainage_rates_CS),0)</f>
        <v>0</v>
      </c>
      <c r="I29" s="54">
        <f>IF(OR(I23=Lists!$B$67,I23=No_risk_ob_piles),_xlfn.XLOOKUP(I28,Dozer_shape_doze_for_drainage_names_CS,Dozer_shape_doze_for_drainage_rates_CS),0)</f>
        <v>0</v>
      </c>
      <c r="J29" s="54">
        <f>IF(OR(J23=Lists!$B$67,J23=No_risk_ob_piles),_xlfn.XLOOKUP(J28,Dozer_shape_doze_for_drainage_names_CS,Dozer_shape_doze_for_drainage_rates_CS),0)</f>
        <v>0</v>
      </c>
      <c r="K29" s="54">
        <f>IF(OR(K23=Lists!$B$67,K23=No_risk_ob_piles),_xlfn.XLOOKUP(K28,Dozer_shape_doze_for_drainage_names_CS,Dozer_shape_doze_for_drainage_rates_CS),0)</f>
        <v>4384.0589414240003</v>
      </c>
      <c r="L29" s="54">
        <f>IF(OR(L23=Lists!$B$67,L23=No_risk_ob_piles),_xlfn.XLOOKUP(L28,Dozer_shape_doze_for_drainage_names_CS,Dozer_shape_doze_for_drainage_rates_CS),0)</f>
        <v>4384.0589414240003</v>
      </c>
      <c r="M29" s="54">
        <f>IF(OR(M23=Lists!$B$67,M23=No_risk_ob_piles),_xlfn.XLOOKUP(M28,Dozer_shape_doze_for_drainage_names_CS,Dozer_shape_doze_for_drainage_rates_CS),0)</f>
        <v>0</v>
      </c>
      <c r="N29" s="54">
        <f>IF(OR(N23=Lists!$B$67,N23=No_risk_ob_piles),_xlfn.XLOOKUP(N28,Dozer_shape_doze_for_drainage_names_CS,Dozer_shape_doze_for_drainage_rates_CS),0)</f>
        <v>0</v>
      </c>
      <c r="O29" s="54">
        <f>IF(OR(O23=Lists!$B$67,O23=No_risk_ob_piles),_xlfn.XLOOKUP(O28,Dozer_shape_doze_for_drainage_names_CS,Dozer_shape_doze_for_drainage_rates_CS),0)</f>
        <v>0</v>
      </c>
      <c r="P29" s="54">
        <f>IF(OR(P23=Lists!$B$67,P23=No_risk_ob_piles),_xlfn.XLOOKUP(P28,Dozer_shape_doze_for_drainage_names_CS,Dozer_shape_doze_for_drainage_rates_CS),0)</f>
        <v>0</v>
      </c>
      <c r="Q29" s="397"/>
      <c r="R29" s="55"/>
    </row>
    <row r="30" spans="2:18" hidden="1">
      <c r="B30" s="94" t="s">
        <v>533</v>
      </c>
      <c r="C30" s="183"/>
      <c r="D30" s="189"/>
      <c r="E30" s="47" t="s">
        <v>229</v>
      </c>
      <c r="F30" s="28" t="s">
        <v>329</v>
      </c>
      <c r="G30" s="414"/>
      <c r="H30" s="414"/>
      <c r="I30" s="414"/>
      <c r="J30" s="414"/>
      <c r="K30" s="414"/>
      <c r="L30" s="414"/>
      <c r="M30" s="414"/>
      <c r="N30" s="414"/>
      <c r="O30" s="414"/>
      <c r="P30" s="414"/>
      <c r="Q30" s="397"/>
      <c r="R30" s="49"/>
    </row>
    <row r="31" spans="2:18" hidden="1">
      <c r="B31" s="94" t="s">
        <v>533</v>
      </c>
      <c r="C31" s="185"/>
      <c r="D31" s="190"/>
      <c r="E31" s="55" t="s">
        <v>146</v>
      </c>
      <c r="F31" s="28" t="s">
        <v>207</v>
      </c>
      <c r="G31" s="147">
        <f>IF(G30="",G29,G30)*G25</f>
        <v>0</v>
      </c>
      <c r="H31" s="147">
        <f t="shared" ref="H31:P31" si="7">IF(H30="",H29,H30)*H25</f>
        <v>0</v>
      </c>
      <c r="I31" s="147">
        <f t="shared" si="7"/>
        <v>0</v>
      </c>
      <c r="J31" s="147">
        <f t="shared" si="7"/>
        <v>0</v>
      </c>
      <c r="K31" s="147">
        <f t="shared" si="7"/>
        <v>0</v>
      </c>
      <c r="L31" s="147">
        <f t="shared" si="7"/>
        <v>0</v>
      </c>
      <c r="M31" s="147">
        <f t="shared" si="7"/>
        <v>0</v>
      </c>
      <c r="N31" s="147">
        <f t="shared" si="7"/>
        <v>0</v>
      </c>
      <c r="O31" s="147">
        <f t="shared" si="7"/>
        <v>0</v>
      </c>
      <c r="P31" s="147">
        <f t="shared" si="7"/>
        <v>0</v>
      </c>
      <c r="Q31" s="397"/>
      <c r="R31" s="49"/>
    </row>
    <row r="32" spans="2:18" hidden="1">
      <c r="B32" s="94" t="s">
        <v>533</v>
      </c>
      <c r="C32" s="200"/>
      <c r="D32" s="188"/>
      <c r="E32" s="67" t="str">
        <f>C28</f>
        <v>Reshape Growth Media Piles</v>
      </c>
      <c r="F32" s="62" t="s">
        <v>207</v>
      </c>
      <c r="G32" s="80">
        <f t="shared" ref="G32:P32" si="8">G31</f>
        <v>0</v>
      </c>
      <c r="H32" s="80">
        <f t="shared" si="8"/>
        <v>0</v>
      </c>
      <c r="I32" s="80">
        <f t="shared" si="8"/>
        <v>0</v>
      </c>
      <c r="J32" s="80">
        <f t="shared" si="8"/>
        <v>0</v>
      </c>
      <c r="K32" s="80">
        <f t="shared" si="8"/>
        <v>0</v>
      </c>
      <c r="L32" s="80">
        <f t="shared" si="8"/>
        <v>0</v>
      </c>
      <c r="M32" s="80">
        <f t="shared" si="8"/>
        <v>0</v>
      </c>
      <c r="N32" s="80">
        <f t="shared" si="8"/>
        <v>0</v>
      </c>
      <c r="O32" s="80">
        <f t="shared" si="8"/>
        <v>0</v>
      </c>
      <c r="P32" s="80">
        <f t="shared" si="8"/>
        <v>0</v>
      </c>
      <c r="Q32" s="397"/>
      <c r="R32" s="49"/>
    </row>
    <row r="33" spans="2:18" hidden="1">
      <c r="B33" s="94" t="s">
        <v>533</v>
      </c>
      <c r="C33" s="187" t="s">
        <v>1021</v>
      </c>
      <c r="D33" s="189"/>
      <c r="E33" s="47" t="s">
        <v>307</v>
      </c>
      <c r="F33" s="28" t="s">
        <v>219</v>
      </c>
      <c r="G33" s="568"/>
      <c r="H33" s="568"/>
      <c r="I33" s="568"/>
      <c r="J33" s="568"/>
      <c r="K33" s="568"/>
      <c r="L33" s="568"/>
      <c r="M33" s="568"/>
      <c r="N33" s="568"/>
      <c r="O33" s="568"/>
      <c r="P33" s="568"/>
      <c r="Q33" s="397"/>
      <c r="R33" s="49"/>
    </row>
    <row r="34" spans="2:18" ht="33.75" hidden="1">
      <c r="B34" s="94" t="s">
        <v>533</v>
      </c>
      <c r="C34" s="210"/>
      <c r="D34" s="189"/>
      <c r="E34" s="47" t="s">
        <v>1022</v>
      </c>
      <c r="F34" s="28" t="s">
        <v>123</v>
      </c>
      <c r="G34" s="503" t="s">
        <v>766</v>
      </c>
      <c r="H34" s="503" t="s">
        <v>766</v>
      </c>
      <c r="I34" s="503" t="s">
        <v>766</v>
      </c>
      <c r="J34" s="503" t="s">
        <v>766</v>
      </c>
      <c r="K34" s="503" t="s">
        <v>766</v>
      </c>
      <c r="L34" s="503" t="s">
        <v>766</v>
      </c>
      <c r="M34" s="503" t="s">
        <v>766</v>
      </c>
      <c r="N34" s="503" t="s">
        <v>766</v>
      </c>
      <c r="O34" s="503" t="s">
        <v>766</v>
      </c>
      <c r="P34" s="503" t="s">
        <v>766</v>
      </c>
      <c r="Q34" s="397"/>
      <c r="R34" s="49"/>
    </row>
    <row r="35" spans="2:18" hidden="1">
      <c r="B35" s="94" t="s">
        <v>533</v>
      </c>
      <c r="C35" s="183"/>
      <c r="D35" s="189"/>
      <c r="E35" s="47" t="s">
        <v>227</v>
      </c>
      <c r="F35" s="28" t="s">
        <v>241</v>
      </c>
      <c r="G35" s="54">
        <f t="shared" ref="G35:P35" si="9">_xlfn.XLOOKUP(G34,Dozer_push_names_CS,Dozer_push_rates_CS)</f>
        <v>0.59455377402363863</v>
      </c>
      <c r="H35" s="54">
        <f t="shared" si="9"/>
        <v>0.59455377402363863</v>
      </c>
      <c r="I35" s="54">
        <f t="shared" si="9"/>
        <v>0.59455377402363863</v>
      </c>
      <c r="J35" s="54">
        <f t="shared" si="9"/>
        <v>0.59455377402363863</v>
      </c>
      <c r="K35" s="54">
        <f t="shared" si="9"/>
        <v>0.59455377402363863</v>
      </c>
      <c r="L35" s="54">
        <f t="shared" si="9"/>
        <v>0.59455377402363863</v>
      </c>
      <c r="M35" s="54">
        <f t="shared" si="9"/>
        <v>0.59455377402363863</v>
      </c>
      <c r="N35" s="54">
        <f t="shared" si="9"/>
        <v>0.59455377402363863</v>
      </c>
      <c r="O35" s="54">
        <f t="shared" si="9"/>
        <v>0.59455377402363863</v>
      </c>
      <c r="P35" s="54">
        <f t="shared" si="9"/>
        <v>0.59455377402363863</v>
      </c>
      <c r="Q35" s="397"/>
      <c r="R35" s="55"/>
    </row>
    <row r="36" spans="2:18" hidden="1">
      <c r="B36" s="94" t="s">
        <v>533</v>
      </c>
      <c r="C36" s="183"/>
      <c r="D36" s="189"/>
      <c r="E36" s="47" t="s">
        <v>229</v>
      </c>
      <c r="F36" s="28" t="s">
        <v>241</v>
      </c>
      <c r="G36" s="414"/>
      <c r="H36" s="414"/>
      <c r="I36" s="414"/>
      <c r="J36" s="414"/>
      <c r="K36" s="414"/>
      <c r="L36" s="414"/>
      <c r="M36" s="414"/>
      <c r="N36" s="414"/>
      <c r="O36" s="414"/>
      <c r="P36" s="414"/>
      <c r="Q36" s="397"/>
      <c r="R36" s="49"/>
    </row>
    <row r="37" spans="2:18" hidden="1">
      <c r="B37" s="94" t="s">
        <v>533</v>
      </c>
      <c r="C37" s="183"/>
      <c r="D37" s="189"/>
      <c r="E37" s="47" t="s">
        <v>146</v>
      </c>
      <c r="F37" s="28" t="s">
        <v>207</v>
      </c>
      <c r="G37" s="147">
        <f>IF(G36="",G35,G36)*G33</f>
        <v>0</v>
      </c>
      <c r="H37" s="147">
        <f t="shared" ref="H37:P37" si="10">IF(H36="",H35,H36)*H33</f>
        <v>0</v>
      </c>
      <c r="I37" s="147">
        <f t="shared" si="10"/>
        <v>0</v>
      </c>
      <c r="J37" s="147">
        <f t="shared" si="10"/>
        <v>0</v>
      </c>
      <c r="K37" s="147">
        <f t="shared" si="10"/>
        <v>0</v>
      </c>
      <c r="L37" s="147">
        <f t="shared" si="10"/>
        <v>0</v>
      </c>
      <c r="M37" s="147">
        <f t="shared" si="10"/>
        <v>0</v>
      </c>
      <c r="N37" s="147">
        <f t="shared" si="10"/>
        <v>0</v>
      </c>
      <c r="O37" s="147">
        <f t="shared" si="10"/>
        <v>0</v>
      </c>
      <c r="P37" s="147">
        <f t="shared" si="10"/>
        <v>0</v>
      </c>
      <c r="Q37" s="397"/>
      <c r="R37" s="49"/>
    </row>
    <row r="38" spans="2:18" hidden="1">
      <c r="B38" s="94" t="s">
        <v>533</v>
      </c>
      <c r="C38" s="200"/>
      <c r="D38" s="188"/>
      <c r="E38" s="67" t="str">
        <f>C33</f>
        <v>Overburden Bulk Push</v>
      </c>
      <c r="F38" s="62" t="s">
        <v>207</v>
      </c>
      <c r="G38" s="80">
        <f t="shared" ref="G38:P38" si="11">G37</f>
        <v>0</v>
      </c>
      <c r="H38" s="80">
        <f t="shared" si="11"/>
        <v>0</v>
      </c>
      <c r="I38" s="80">
        <f t="shared" si="11"/>
        <v>0</v>
      </c>
      <c r="J38" s="80">
        <f t="shared" si="11"/>
        <v>0</v>
      </c>
      <c r="K38" s="80">
        <f t="shared" si="11"/>
        <v>0</v>
      </c>
      <c r="L38" s="80">
        <f t="shared" si="11"/>
        <v>0</v>
      </c>
      <c r="M38" s="80">
        <f t="shared" si="11"/>
        <v>0</v>
      </c>
      <c r="N38" s="80">
        <f t="shared" si="11"/>
        <v>0</v>
      </c>
      <c r="O38" s="80">
        <f t="shared" si="11"/>
        <v>0</v>
      </c>
      <c r="P38" s="80">
        <f t="shared" si="11"/>
        <v>0</v>
      </c>
      <c r="Q38" s="397"/>
      <c r="R38" s="49"/>
    </row>
    <row r="39" spans="2:18" hidden="1">
      <c r="B39" s="94" t="s">
        <v>533</v>
      </c>
      <c r="C39" s="187" t="s">
        <v>1023</v>
      </c>
      <c r="D39" s="118" t="s">
        <v>757</v>
      </c>
      <c r="E39" s="47" t="s">
        <v>759</v>
      </c>
      <c r="F39" s="28" t="s">
        <v>211</v>
      </c>
      <c r="G39" s="70">
        <f>_xlfn.XLOOKUP(G$23,'Assumptions - Capping'!$E$4:$J$4,'Assumptions - Capping'!$E$16:$J$16)</f>
        <v>0.5</v>
      </c>
      <c r="H39" s="70">
        <f>_xlfn.XLOOKUP(H$23,'Assumptions - Capping'!$E$4:$J$4,'Assumptions - Capping'!$E$16:$J$16)</f>
        <v>0.5</v>
      </c>
      <c r="I39" s="70">
        <f>_xlfn.XLOOKUP(I$23,'Assumptions - Capping'!$E$4:$J$4,'Assumptions - Capping'!$E$16:$J$16)</f>
        <v>0.5</v>
      </c>
      <c r="J39" s="70">
        <f>_xlfn.XLOOKUP(J$23,'Assumptions - Capping'!$E$4:$J$4,'Assumptions - Capping'!$E$16:$J$16)</f>
        <v>0.5</v>
      </c>
      <c r="K39" s="70">
        <f>_xlfn.XLOOKUP(K$23,'Assumptions - Capping'!$E$4:$J$4,'Assumptions - Capping'!$E$16:$J$16)</f>
        <v>0.5</v>
      </c>
      <c r="L39" s="70">
        <f>_xlfn.XLOOKUP(L$23,'Assumptions - Capping'!$E$4:$J$4,'Assumptions - Capping'!$E$16:$J$16)</f>
        <v>0</v>
      </c>
      <c r="M39" s="70">
        <f>_xlfn.XLOOKUP(M$23,'Assumptions - Capping'!$E$4:$J$4,'Assumptions - Capping'!$E$16:$J$16)</f>
        <v>0.5</v>
      </c>
      <c r="N39" s="70">
        <f>_xlfn.XLOOKUP(N$23,'Assumptions - Capping'!$E$4:$J$4,'Assumptions - Capping'!$E$16:$J$16)</f>
        <v>0.5</v>
      </c>
      <c r="O39" s="70">
        <f>_xlfn.XLOOKUP(O$23,'Assumptions - Capping'!$E$4:$J$4,'Assumptions - Capping'!$E$16:$J$16)</f>
        <v>0.5</v>
      </c>
      <c r="P39" s="70">
        <f>_xlfn.XLOOKUP(P$23,'Assumptions - Capping'!$E$4:$J$4,'Assumptions - Capping'!$E$16:$J$16)</f>
        <v>0.5</v>
      </c>
      <c r="Q39" s="397"/>
      <c r="R39" s="49"/>
    </row>
    <row r="40" spans="2:18" hidden="1">
      <c r="B40" s="94" t="s">
        <v>533</v>
      </c>
      <c r="C40" s="183"/>
      <c r="D40" s="189"/>
      <c r="E40" s="47" t="s">
        <v>760</v>
      </c>
      <c r="F40" s="28" t="s">
        <v>211</v>
      </c>
      <c r="G40" s="515"/>
      <c r="H40" s="515"/>
      <c r="I40" s="515"/>
      <c r="J40" s="515"/>
      <c r="K40" s="515"/>
      <c r="L40" s="515"/>
      <c r="M40" s="515"/>
      <c r="N40" s="515"/>
      <c r="O40" s="515"/>
      <c r="P40" s="515"/>
      <c r="Q40" s="397"/>
      <c r="R40" s="49"/>
    </row>
    <row r="41" spans="2:18" hidden="1">
      <c r="B41" s="94" t="s">
        <v>533</v>
      </c>
      <c r="C41" s="183"/>
      <c r="D41" s="189"/>
      <c r="E41" s="47" t="s">
        <v>761</v>
      </c>
      <c r="F41" s="28" t="s">
        <v>211</v>
      </c>
      <c r="G41" s="70">
        <f>IF(G40="",G39,G40)</f>
        <v>0.5</v>
      </c>
      <c r="H41" s="70">
        <f t="shared" ref="H41:P41" si="12">IF(H40="",H39,H40)</f>
        <v>0.5</v>
      </c>
      <c r="I41" s="70">
        <f t="shared" si="12"/>
        <v>0.5</v>
      </c>
      <c r="J41" s="70">
        <f t="shared" si="12"/>
        <v>0.5</v>
      </c>
      <c r="K41" s="70">
        <f t="shared" si="12"/>
        <v>0.5</v>
      </c>
      <c r="L41" s="70">
        <f t="shared" si="12"/>
        <v>0</v>
      </c>
      <c r="M41" s="70">
        <f t="shared" si="12"/>
        <v>0.5</v>
      </c>
      <c r="N41" s="70">
        <f t="shared" si="12"/>
        <v>0.5</v>
      </c>
      <c r="O41" s="70">
        <f t="shared" si="12"/>
        <v>0.5</v>
      </c>
      <c r="P41" s="70">
        <f t="shared" si="12"/>
        <v>0.5</v>
      </c>
      <c r="Q41" s="397"/>
      <c r="R41" s="49"/>
    </row>
    <row r="42" spans="2:18" hidden="1">
      <c r="B42" s="94" t="s">
        <v>533</v>
      </c>
      <c r="C42" s="183"/>
      <c r="D42" s="189"/>
      <c r="E42" s="47" t="s">
        <v>307</v>
      </c>
      <c r="F42" s="28" t="s">
        <v>219</v>
      </c>
      <c r="G42" s="58">
        <f t="shared" ref="G42:P42" si="13">G26*Conv_sqm_ha*G41</f>
        <v>0</v>
      </c>
      <c r="H42" s="58">
        <f t="shared" si="13"/>
        <v>0</v>
      </c>
      <c r="I42" s="58">
        <f t="shared" si="13"/>
        <v>0</v>
      </c>
      <c r="J42" s="58">
        <f t="shared" si="13"/>
        <v>0</v>
      </c>
      <c r="K42" s="58">
        <f t="shared" si="13"/>
        <v>0</v>
      </c>
      <c r="L42" s="58">
        <f t="shared" si="13"/>
        <v>0</v>
      </c>
      <c r="M42" s="58">
        <f t="shared" si="13"/>
        <v>0</v>
      </c>
      <c r="N42" s="58">
        <f t="shared" si="13"/>
        <v>0</v>
      </c>
      <c r="O42" s="58">
        <f t="shared" si="13"/>
        <v>0</v>
      </c>
      <c r="P42" s="58">
        <f t="shared" si="13"/>
        <v>0</v>
      </c>
      <c r="Q42" s="397"/>
      <c r="R42" s="49"/>
    </row>
    <row r="43" spans="2:18" ht="33.75" hidden="1">
      <c r="B43" s="94" t="s">
        <v>533</v>
      </c>
      <c r="C43" s="183"/>
      <c r="D43" s="189"/>
      <c r="E43" s="121" t="s">
        <v>762</v>
      </c>
      <c r="F43" s="28" t="s">
        <v>211</v>
      </c>
      <c r="G43" s="503" t="s">
        <v>763</v>
      </c>
      <c r="H43" s="503" t="s">
        <v>763</v>
      </c>
      <c r="I43" s="503" t="s">
        <v>763</v>
      </c>
      <c r="J43" s="503" t="s">
        <v>763</v>
      </c>
      <c r="K43" s="503" t="s">
        <v>763</v>
      </c>
      <c r="L43" s="503" t="s">
        <v>763</v>
      </c>
      <c r="M43" s="503" t="s">
        <v>763</v>
      </c>
      <c r="N43" s="503" t="s">
        <v>763</v>
      </c>
      <c r="O43" s="503" t="s">
        <v>763</v>
      </c>
      <c r="P43" s="503" t="s">
        <v>763</v>
      </c>
      <c r="Q43" s="397"/>
      <c r="R43" s="49"/>
    </row>
    <row r="44" spans="2:18" hidden="1">
      <c r="B44" s="94" t="s">
        <v>533</v>
      </c>
      <c r="C44" s="183"/>
      <c r="D44" s="189"/>
      <c r="E44" s="47" t="s">
        <v>227</v>
      </c>
      <c r="F44" s="28" t="s">
        <v>241</v>
      </c>
      <c r="G44" s="54">
        <f t="shared" ref="G44:P44" si="14">_xlfn.XLOOKUP(G43,Load_haul_fill_names_CS,Load_haul_fill_rates_CS)</f>
        <v>5.5772874469474321</v>
      </c>
      <c r="H44" s="54">
        <f t="shared" si="14"/>
        <v>5.5772874469474321</v>
      </c>
      <c r="I44" s="54">
        <f t="shared" si="14"/>
        <v>5.5772874469474321</v>
      </c>
      <c r="J44" s="54">
        <f t="shared" si="14"/>
        <v>5.5772874469474321</v>
      </c>
      <c r="K44" s="54">
        <f t="shared" si="14"/>
        <v>5.5772874469474321</v>
      </c>
      <c r="L44" s="54">
        <f t="shared" si="14"/>
        <v>5.5772874469474321</v>
      </c>
      <c r="M44" s="54">
        <f t="shared" si="14"/>
        <v>5.5772874469474321</v>
      </c>
      <c r="N44" s="54">
        <f t="shared" si="14"/>
        <v>5.5772874469474321</v>
      </c>
      <c r="O44" s="54">
        <f t="shared" si="14"/>
        <v>5.5772874469474321</v>
      </c>
      <c r="P44" s="54">
        <f t="shared" si="14"/>
        <v>5.5772874469474321</v>
      </c>
      <c r="Q44" s="397"/>
      <c r="R44" s="55"/>
    </row>
    <row r="45" spans="2:18" hidden="1">
      <c r="B45" s="94" t="s">
        <v>533</v>
      </c>
      <c r="C45" s="183"/>
      <c r="D45" s="189"/>
      <c r="E45" s="47" t="s">
        <v>229</v>
      </c>
      <c r="F45" s="28" t="s">
        <v>241</v>
      </c>
      <c r="G45" s="414"/>
      <c r="H45" s="414"/>
      <c r="I45" s="414"/>
      <c r="J45" s="414"/>
      <c r="K45" s="414"/>
      <c r="L45" s="414"/>
      <c r="M45" s="414"/>
      <c r="N45" s="414"/>
      <c r="O45" s="414"/>
      <c r="P45" s="414"/>
      <c r="Q45" s="397"/>
      <c r="R45" s="49"/>
    </row>
    <row r="46" spans="2:18" hidden="1">
      <c r="B46" s="94" t="s">
        <v>533</v>
      </c>
      <c r="C46" s="185"/>
      <c r="D46" s="189"/>
      <c r="E46" s="47" t="s">
        <v>146</v>
      </c>
      <c r="F46" s="28" t="s">
        <v>207</v>
      </c>
      <c r="G46" s="71">
        <f>G44*G42</f>
        <v>0</v>
      </c>
      <c r="H46" s="71">
        <f t="shared" ref="H46:P46" si="15">H44*H42</f>
        <v>0</v>
      </c>
      <c r="I46" s="71">
        <f t="shared" si="15"/>
        <v>0</v>
      </c>
      <c r="J46" s="71">
        <f t="shared" si="15"/>
        <v>0</v>
      </c>
      <c r="K46" s="71">
        <f t="shared" si="15"/>
        <v>0</v>
      </c>
      <c r="L46" s="71">
        <f t="shared" si="15"/>
        <v>0</v>
      </c>
      <c r="M46" s="71">
        <f t="shared" si="15"/>
        <v>0</v>
      </c>
      <c r="N46" s="71">
        <f t="shared" si="15"/>
        <v>0</v>
      </c>
      <c r="O46" s="71">
        <f t="shared" si="15"/>
        <v>0</v>
      </c>
      <c r="P46" s="71">
        <f t="shared" si="15"/>
        <v>0</v>
      </c>
      <c r="Q46" s="397"/>
      <c r="R46" s="49"/>
    </row>
    <row r="47" spans="2:18" ht="33.75" hidden="1">
      <c r="B47" s="94" t="s">
        <v>533</v>
      </c>
      <c r="C47" s="181" t="s">
        <v>764</v>
      </c>
      <c r="D47" s="189"/>
      <c r="E47" s="47" t="s">
        <v>874</v>
      </c>
      <c r="F47" s="28" t="s">
        <v>123</v>
      </c>
      <c r="G47" s="503" t="s">
        <v>766</v>
      </c>
      <c r="H47" s="503" t="s">
        <v>766</v>
      </c>
      <c r="I47" s="503" t="s">
        <v>766</v>
      </c>
      <c r="J47" s="503" t="s">
        <v>766</v>
      </c>
      <c r="K47" s="503" t="s">
        <v>766</v>
      </c>
      <c r="L47" s="503" t="s">
        <v>766</v>
      </c>
      <c r="M47" s="503" t="s">
        <v>766</v>
      </c>
      <c r="N47" s="503" t="s">
        <v>766</v>
      </c>
      <c r="O47" s="503" t="s">
        <v>766</v>
      </c>
      <c r="P47" s="503" t="s">
        <v>766</v>
      </c>
      <c r="Q47" s="397"/>
      <c r="R47" s="49"/>
    </row>
    <row r="48" spans="2:18" hidden="1">
      <c r="B48" s="94" t="s">
        <v>533</v>
      </c>
      <c r="C48" s="183"/>
      <c r="D48" s="189"/>
      <c r="E48" s="47" t="s">
        <v>227</v>
      </c>
      <c r="F48" s="28" t="s">
        <v>241</v>
      </c>
      <c r="G48" s="54">
        <f t="shared" ref="G48:P48" si="16">_xlfn.XLOOKUP(G47,Dozer_push_names_CS,Dozer_push_rates_CS)</f>
        <v>0.59455377402363863</v>
      </c>
      <c r="H48" s="54">
        <f t="shared" si="16"/>
        <v>0.59455377402363863</v>
      </c>
      <c r="I48" s="54">
        <f t="shared" si="16"/>
        <v>0.59455377402363863</v>
      </c>
      <c r="J48" s="54">
        <f t="shared" si="16"/>
        <v>0.59455377402363863</v>
      </c>
      <c r="K48" s="54">
        <f t="shared" si="16"/>
        <v>0.59455377402363863</v>
      </c>
      <c r="L48" s="54">
        <f t="shared" si="16"/>
        <v>0.59455377402363863</v>
      </c>
      <c r="M48" s="54">
        <f t="shared" si="16"/>
        <v>0.59455377402363863</v>
      </c>
      <c r="N48" s="54">
        <f t="shared" si="16"/>
        <v>0.59455377402363863</v>
      </c>
      <c r="O48" s="54">
        <f t="shared" si="16"/>
        <v>0.59455377402363863</v>
      </c>
      <c r="P48" s="54">
        <f t="shared" si="16"/>
        <v>0.59455377402363863</v>
      </c>
      <c r="Q48" s="397"/>
      <c r="R48" s="55"/>
    </row>
    <row r="49" spans="2:18" hidden="1">
      <c r="B49" s="94" t="s">
        <v>533</v>
      </c>
      <c r="C49" s="183"/>
      <c r="D49" s="189"/>
      <c r="E49" s="47" t="s">
        <v>229</v>
      </c>
      <c r="F49" s="28" t="s">
        <v>241</v>
      </c>
      <c r="G49" s="414"/>
      <c r="H49" s="414"/>
      <c r="I49" s="414"/>
      <c r="J49" s="414"/>
      <c r="K49" s="414"/>
      <c r="L49" s="414"/>
      <c r="M49" s="414"/>
      <c r="N49" s="414"/>
      <c r="O49" s="414"/>
      <c r="P49" s="414"/>
      <c r="Q49" s="397"/>
      <c r="R49" s="49"/>
    </row>
    <row r="50" spans="2:18" hidden="1">
      <c r="B50" s="94" t="s">
        <v>533</v>
      </c>
      <c r="C50" s="183"/>
      <c r="D50" s="189"/>
      <c r="E50" s="47" t="s">
        <v>146</v>
      </c>
      <c r="F50" s="28" t="s">
        <v>207</v>
      </c>
      <c r="G50" s="147">
        <f>IF(G49="",G48,G49)*G42</f>
        <v>0</v>
      </c>
      <c r="H50" s="147">
        <f t="shared" ref="H50:P50" si="17">IF(H49="",H48,H49)*H42</f>
        <v>0</v>
      </c>
      <c r="I50" s="147">
        <f t="shared" si="17"/>
        <v>0</v>
      </c>
      <c r="J50" s="147">
        <f t="shared" si="17"/>
        <v>0</v>
      </c>
      <c r="K50" s="147">
        <f t="shared" si="17"/>
        <v>0</v>
      </c>
      <c r="L50" s="147">
        <f t="shared" si="17"/>
        <v>0</v>
      </c>
      <c r="M50" s="147">
        <f t="shared" si="17"/>
        <v>0</v>
      </c>
      <c r="N50" s="147">
        <f t="shared" si="17"/>
        <v>0</v>
      </c>
      <c r="O50" s="147">
        <f t="shared" si="17"/>
        <v>0</v>
      </c>
      <c r="P50" s="147">
        <f t="shared" si="17"/>
        <v>0</v>
      </c>
      <c r="Q50" s="397"/>
      <c r="R50" s="49"/>
    </row>
    <row r="51" spans="2:18" ht="33.75" hidden="1">
      <c r="B51" s="94" t="s">
        <v>533</v>
      </c>
      <c r="C51" s="185"/>
      <c r="D51" s="189"/>
      <c r="E51" s="47" t="s">
        <v>735</v>
      </c>
      <c r="F51" s="28" t="s">
        <v>123</v>
      </c>
      <c r="G51" s="503" t="s">
        <v>737</v>
      </c>
      <c r="H51" s="503" t="s">
        <v>737</v>
      </c>
      <c r="I51" s="503" t="s">
        <v>737</v>
      </c>
      <c r="J51" s="503" t="s">
        <v>737</v>
      </c>
      <c r="K51" s="503" t="s">
        <v>737</v>
      </c>
      <c r="L51" s="503" t="s">
        <v>737</v>
      </c>
      <c r="M51" s="503" t="s">
        <v>737</v>
      </c>
      <c r="N51" s="503" t="s">
        <v>737</v>
      </c>
      <c r="O51" s="503" t="s">
        <v>737</v>
      </c>
      <c r="P51" s="503" t="s">
        <v>737</v>
      </c>
      <c r="Q51" s="397"/>
      <c r="R51" s="49"/>
    </row>
    <row r="52" spans="2:18" hidden="1">
      <c r="B52" s="94" t="s">
        <v>533</v>
      </c>
      <c r="C52" s="181" t="s">
        <v>767</v>
      </c>
      <c r="D52" s="189"/>
      <c r="E52" s="47" t="s">
        <v>227</v>
      </c>
      <c r="F52" s="28" t="s">
        <v>329</v>
      </c>
      <c r="G52" s="54">
        <f t="shared" ref="G52:P52" si="18">_xlfn.XLOOKUP(G51,Dozer_shape_doze_for_drainage_names_CS,Dozer_shape_doze_for_drainage_rates_CS)</f>
        <v>6726.2274169792872</v>
      </c>
      <c r="H52" s="54">
        <f t="shared" si="18"/>
        <v>6726.2274169792872</v>
      </c>
      <c r="I52" s="54">
        <f t="shared" si="18"/>
        <v>6726.2274169792872</v>
      </c>
      <c r="J52" s="54">
        <f t="shared" si="18"/>
        <v>6726.2274169792872</v>
      </c>
      <c r="K52" s="54">
        <f t="shared" si="18"/>
        <v>6726.2274169792872</v>
      </c>
      <c r="L52" s="54">
        <f t="shared" si="18"/>
        <v>6726.2274169792872</v>
      </c>
      <c r="M52" s="54">
        <f t="shared" si="18"/>
        <v>6726.2274169792872</v>
      </c>
      <c r="N52" s="54">
        <f t="shared" si="18"/>
        <v>6726.2274169792872</v>
      </c>
      <c r="O52" s="54">
        <f t="shared" si="18"/>
        <v>6726.2274169792872</v>
      </c>
      <c r="P52" s="54">
        <f t="shared" si="18"/>
        <v>6726.2274169792872</v>
      </c>
      <c r="Q52" s="397"/>
      <c r="R52" s="55"/>
    </row>
    <row r="53" spans="2:18" hidden="1">
      <c r="B53" s="94" t="s">
        <v>533</v>
      </c>
      <c r="C53" s="183"/>
      <c r="D53" s="189"/>
      <c r="E53" s="47" t="s">
        <v>229</v>
      </c>
      <c r="F53" s="28" t="s">
        <v>329</v>
      </c>
      <c r="G53" s="414"/>
      <c r="H53" s="414"/>
      <c r="I53" s="414"/>
      <c r="J53" s="414"/>
      <c r="K53" s="414"/>
      <c r="L53" s="414"/>
      <c r="M53" s="414"/>
      <c r="N53" s="414"/>
      <c r="O53" s="414"/>
      <c r="P53" s="414"/>
      <c r="Q53" s="397"/>
      <c r="R53" s="49"/>
    </row>
    <row r="54" spans="2:18" hidden="1">
      <c r="B54" s="94" t="s">
        <v>533</v>
      </c>
      <c r="C54" s="185"/>
      <c r="D54" s="190"/>
      <c r="E54" s="55" t="s">
        <v>146</v>
      </c>
      <c r="F54" s="28" t="s">
        <v>207</v>
      </c>
      <c r="G54" s="147">
        <f t="shared" ref="G54:P54" si="19">IF(G53="",G52,G53)*G26</f>
        <v>0</v>
      </c>
      <c r="H54" s="147">
        <f t="shared" si="19"/>
        <v>0</v>
      </c>
      <c r="I54" s="147">
        <f t="shared" si="19"/>
        <v>0</v>
      </c>
      <c r="J54" s="147">
        <f t="shared" si="19"/>
        <v>0</v>
      </c>
      <c r="K54" s="147">
        <f t="shared" si="19"/>
        <v>0</v>
      </c>
      <c r="L54" s="147">
        <f t="shared" si="19"/>
        <v>0</v>
      </c>
      <c r="M54" s="147">
        <f t="shared" si="19"/>
        <v>0</v>
      </c>
      <c r="N54" s="147">
        <f t="shared" si="19"/>
        <v>0</v>
      </c>
      <c r="O54" s="147">
        <f t="shared" si="19"/>
        <v>0</v>
      </c>
      <c r="P54" s="147">
        <f t="shared" si="19"/>
        <v>0</v>
      </c>
      <c r="Q54" s="397"/>
      <c r="R54" s="49"/>
    </row>
    <row r="55" spans="2:18" hidden="1">
      <c r="B55" s="94" t="s">
        <v>533</v>
      </c>
      <c r="C55" s="200"/>
      <c r="D55" s="188"/>
      <c r="E55" s="67" t="str">
        <f>C39</f>
        <v>Ramps remove rock cover load, haul, place</v>
      </c>
      <c r="F55" s="62" t="s">
        <v>207</v>
      </c>
      <c r="G55" s="80">
        <f t="shared" ref="G55:P55" si="20">G46+G50+G54</f>
        <v>0</v>
      </c>
      <c r="H55" s="80">
        <f t="shared" si="20"/>
        <v>0</v>
      </c>
      <c r="I55" s="80">
        <f t="shared" si="20"/>
        <v>0</v>
      </c>
      <c r="J55" s="80">
        <f t="shared" si="20"/>
        <v>0</v>
      </c>
      <c r="K55" s="80">
        <f t="shared" si="20"/>
        <v>0</v>
      </c>
      <c r="L55" s="80">
        <f t="shared" si="20"/>
        <v>0</v>
      </c>
      <c r="M55" s="80">
        <f t="shared" si="20"/>
        <v>0</v>
      </c>
      <c r="N55" s="80">
        <f t="shared" si="20"/>
        <v>0</v>
      </c>
      <c r="O55" s="80">
        <f t="shared" si="20"/>
        <v>0</v>
      </c>
      <c r="P55" s="80">
        <f t="shared" si="20"/>
        <v>0</v>
      </c>
      <c r="Q55" s="397"/>
      <c r="R55" s="49"/>
    </row>
    <row r="56" spans="2:18" hidden="1">
      <c r="B56" s="94" t="s">
        <v>533</v>
      </c>
      <c r="C56" s="187" t="s">
        <v>768</v>
      </c>
      <c r="D56" s="118" t="s">
        <v>769</v>
      </c>
      <c r="E56" s="49" t="s">
        <v>623</v>
      </c>
      <c r="F56" s="28" t="s">
        <v>299</v>
      </c>
      <c r="G56" s="70">
        <f t="shared" ref="G56:P56" si="21">G$25</f>
        <v>0</v>
      </c>
      <c r="H56" s="70">
        <f t="shared" si="21"/>
        <v>0</v>
      </c>
      <c r="I56" s="70">
        <f t="shared" si="21"/>
        <v>0</v>
      </c>
      <c r="J56" s="70">
        <f t="shared" si="21"/>
        <v>0</v>
      </c>
      <c r="K56" s="70">
        <f t="shared" si="21"/>
        <v>0</v>
      </c>
      <c r="L56" s="70">
        <f t="shared" si="21"/>
        <v>0</v>
      </c>
      <c r="M56" s="70">
        <f t="shared" si="21"/>
        <v>0</v>
      </c>
      <c r="N56" s="70">
        <f t="shared" si="21"/>
        <v>0</v>
      </c>
      <c r="O56" s="70">
        <f t="shared" si="21"/>
        <v>0</v>
      </c>
      <c r="P56" s="70">
        <f t="shared" si="21"/>
        <v>0</v>
      </c>
      <c r="Q56" s="397"/>
      <c r="R56" s="55"/>
    </row>
    <row r="57" spans="2:18" hidden="1">
      <c r="B57" s="94" t="s">
        <v>533</v>
      </c>
      <c r="C57" s="183"/>
      <c r="D57" s="189"/>
      <c r="E57" s="49" t="s">
        <v>624</v>
      </c>
      <c r="F57" s="28" t="s">
        <v>299</v>
      </c>
      <c r="G57" s="515"/>
      <c r="H57" s="515"/>
      <c r="I57" s="515"/>
      <c r="J57" s="515"/>
      <c r="K57" s="515"/>
      <c r="L57" s="515"/>
      <c r="M57" s="515"/>
      <c r="N57" s="515"/>
      <c r="O57" s="515"/>
      <c r="P57" s="515"/>
      <c r="Q57" s="397"/>
      <c r="R57" s="49"/>
    </row>
    <row r="58" spans="2:18" hidden="1">
      <c r="B58" s="94" t="s">
        <v>533</v>
      </c>
      <c r="C58" s="183"/>
      <c r="D58" s="189"/>
      <c r="E58" s="49" t="s">
        <v>625</v>
      </c>
      <c r="F58" s="28" t="s">
        <v>299</v>
      </c>
      <c r="G58" s="70">
        <f t="shared" ref="G58:P58" si="22">IF(G57="",G56,G57)</f>
        <v>0</v>
      </c>
      <c r="H58" s="70">
        <f t="shared" si="22"/>
        <v>0</v>
      </c>
      <c r="I58" s="70">
        <f t="shared" si="22"/>
        <v>0</v>
      </c>
      <c r="J58" s="70">
        <f t="shared" si="22"/>
        <v>0</v>
      </c>
      <c r="K58" s="70">
        <f t="shared" si="22"/>
        <v>0</v>
      </c>
      <c r="L58" s="70">
        <f t="shared" si="22"/>
        <v>0</v>
      </c>
      <c r="M58" s="70">
        <f t="shared" si="22"/>
        <v>0</v>
      </c>
      <c r="N58" s="70">
        <f t="shared" si="22"/>
        <v>0</v>
      </c>
      <c r="O58" s="70">
        <f t="shared" si="22"/>
        <v>0</v>
      </c>
      <c r="P58" s="70">
        <f t="shared" si="22"/>
        <v>0</v>
      </c>
      <c r="Q58" s="397"/>
      <c r="R58" s="55"/>
    </row>
    <row r="59" spans="2:18" hidden="1">
      <c r="B59" s="94" t="s">
        <v>533</v>
      </c>
      <c r="C59" s="183"/>
      <c r="D59" s="189"/>
      <c r="E59" s="47" t="s">
        <v>759</v>
      </c>
      <c r="F59" s="28" t="s">
        <v>211</v>
      </c>
      <c r="G59" s="70">
        <f>_xlfn.XLOOKUP(G$23,'Assumptions - Capping'!$E$4:$J$4,'Assumptions - Capping'!$E$17:$J$17)</f>
        <v>0</v>
      </c>
      <c r="H59" s="70">
        <f>_xlfn.XLOOKUP(H$23,'Assumptions - Capping'!$E$4:$J$4,'Assumptions - Capping'!$E$17:$J$17)</f>
        <v>0</v>
      </c>
      <c r="I59" s="70">
        <f>_xlfn.XLOOKUP(I$23,'Assumptions - Capping'!$E$4:$J$4,'Assumptions - Capping'!$E$17:$J$17)</f>
        <v>0</v>
      </c>
      <c r="J59" s="70">
        <f>_xlfn.XLOOKUP(J$23,'Assumptions - Capping'!$E$4:$J$4,'Assumptions - Capping'!$E$17:$J$17)</f>
        <v>0</v>
      </c>
      <c r="K59" s="70">
        <f>_xlfn.XLOOKUP(K$23,'Assumptions - Capping'!$E$4:$J$4,'Assumptions - Capping'!$E$17:$J$17)</f>
        <v>0</v>
      </c>
      <c r="L59" s="70">
        <f>_xlfn.XLOOKUP(L$23,'Assumptions - Capping'!$E$4:$J$4,'Assumptions - Capping'!$E$17:$J$17)</f>
        <v>0</v>
      </c>
      <c r="M59" s="70">
        <f>_xlfn.XLOOKUP(M$23,'Assumptions - Capping'!$E$4:$J$4,'Assumptions - Capping'!$E$17:$J$17)</f>
        <v>0</v>
      </c>
      <c r="N59" s="70">
        <f>_xlfn.XLOOKUP(N$23,'Assumptions - Capping'!$E$4:$J$4,'Assumptions - Capping'!$E$17:$J$17)</f>
        <v>0</v>
      </c>
      <c r="O59" s="70">
        <f>_xlfn.XLOOKUP(O$23,'Assumptions - Capping'!$E$4:$J$4,'Assumptions - Capping'!$E$17:$J$17)</f>
        <v>0</v>
      </c>
      <c r="P59" s="70">
        <f>_xlfn.XLOOKUP(P$23,'Assumptions - Capping'!$E$4:$J$4,'Assumptions - Capping'!$E$17:$J$17)</f>
        <v>0</v>
      </c>
      <c r="Q59" s="397"/>
      <c r="R59" s="49"/>
    </row>
    <row r="60" spans="2:18" hidden="1">
      <c r="B60" s="94" t="s">
        <v>533</v>
      </c>
      <c r="C60" s="183"/>
      <c r="D60" s="189"/>
      <c r="E60" s="47" t="s">
        <v>760</v>
      </c>
      <c r="F60" s="28" t="s">
        <v>211</v>
      </c>
      <c r="G60" s="411"/>
      <c r="H60" s="411"/>
      <c r="I60" s="411"/>
      <c r="J60" s="411"/>
      <c r="K60" s="411"/>
      <c r="L60" s="411"/>
      <c r="M60" s="411"/>
      <c r="N60" s="411"/>
      <c r="O60" s="411"/>
      <c r="P60" s="411"/>
      <c r="Q60" s="397"/>
      <c r="R60" s="49"/>
    </row>
    <row r="61" spans="2:18" hidden="1">
      <c r="B61" s="94" t="s">
        <v>533</v>
      </c>
      <c r="C61" s="183"/>
      <c r="D61" s="189"/>
      <c r="E61" s="47" t="s">
        <v>761</v>
      </c>
      <c r="F61" s="28" t="s">
        <v>211</v>
      </c>
      <c r="G61" s="70">
        <f>IF(G60="",G59,G60)</f>
        <v>0</v>
      </c>
      <c r="H61" s="70">
        <f t="shared" ref="H61" si="23">IF(H60="",H59,H60)</f>
        <v>0</v>
      </c>
      <c r="I61" s="70">
        <f t="shared" ref="I61" si="24">IF(I60="",I59,I60)</f>
        <v>0</v>
      </c>
      <c r="J61" s="70">
        <f t="shared" ref="J61" si="25">IF(J60="",J59,J60)</f>
        <v>0</v>
      </c>
      <c r="K61" s="70">
        <f t="shared" ref="K61" si="26">IF(K60="",K59,K60)</f>
        <v>0</v>
      </c>
      <c r="L61" s="70">
        <f t="shared" ref="L61" si="27">IF(L60="",L59,L60)</f>
        <v>0</v>
      </c>
      <c r="M61" s="70">
        <f t="shared" ref="M61" si="28">IF(M60="",M59,M60)</f>
        <v>0</v>
      </c>
      <c r="N61" s="70">
        <f t="shared" ref="N61" si="29">IF(N60="",N59,N60)</f>
        <v>0</v>
      </c>
      <c r="O61" s="70">
        <f t="shared" ref="O61" si="30">IF(O60="",O59,O60)</f>
        <v>0</v>
      </c>
      <c r="P61" s="70">
        <f t="shared" ref="P61" si="31">IF(P60="",P59,P60)</f>
        <v>0</v>
      </c>
      <c r="Q61" s="397"/>
      <c r="R61" s="49"/>
    </row>
    <row r="62" spans="2:18" hidden="1">
      <c r="B62" s="94" t="s">
        <v>533</v>
      </c>
      <c r="C62" s="181" t="s">
        <v>770</v>
      </c>
      <c r="D62" s="189"/>
      <c r="E62" s="49" t="s">
        <v>307</v>
      </c>
      <c r="F62" s="28" t="s">
        <v>219</v>
      </c>
      <c r="G62" s="58">
        <f t="shared" ref="G62:P62" si="32">G58*Conv_sqm_ha*G61</f>
        <v>0</v>
      </c>
      <c r="H62" s="58">
        <f t="shared" si="32"/>
        <v>0</v>
      </c>
      <c r="I62" s="58">
        <f t="shared" si="32"/>
        <v>0</v>
      </c>
      <c r="J62" s="58">
        <f t="shared" si="32"/>
        <v>0</v>
      </c>
      <c r="K62" s="58">
        <f t="shared" si="32"/>
        <v>0</v>
      </c>
      <c r="L62" s="58">
        <f t="shared" si="32"/>
        <v>0</v>
      </c>
      <c r="M62" s="58">
        <f t="shared" si="32"/>
        <v>0</v>
      </c>
      <c r="N62" s="58">
        <f t="shared" si="32"/>
        <v>0</v>
      </c>
      <c r="O62" s="58">
        <f t="shared" si="32"/>
        <v>0</v>
      </c>
      <c r="P62" s="58">
        <f t="shared" si="32"/>
        <v>0</v>
      </c>
      <c r="Q62" s="397"/>
      <c r="R62" s="55"/>
    </row>
    <row r="63" spans="2:18" hidden="1">
      <c r="B63" s="94" t="s">
        <v>533</v>
      </c>
      <c r="C63" s="183"/>
      <c r="D63" s="189"/>
      <c r="E63" s="49" t="s">
        <v>771</v>
      </c>
      <c r="F63" s="28" t="s">
        <v>241</v>
      </c>
      <c r="G63" s="54">
        <f>IF(G59=0,0,'Cost Schedule'!$D$426)</f>
        <v>0</v>
      </c>
      <c r="H63" s="54">
        <f>IF(H59=0,0,'Cost Schedule'!$D$426)</f>
        <v>0</v>
      </c>
      <c r="I63" s="54">
        <f>IF(I59=0,0,'Cost Schedule'!$D$426)</f>
        <v>0</v>
      </c>
      <c r="J63" s="54">
        <f>IF(J59=0,0,'Cost Schedule'!$D$426)</f>
        <v>0</v>
      </c>
      <c r="K63" s="54">
        <f>IF(K59=0,0,'Cost Schedule'!$D$426)</f>
        <v>0</v>
      </c>
      <c r="L63" s="54">
        <f>IF(L59=0,0,'Cost Schedule'!$D$426)</f>
        <v>0</v>
      </c>
      <c r="M63" s="54">
        <f>IF(M59=0,0,'Cost Schedule'!$D$426)</f>
        <v>0</v>
      </c>
      <c r="N63" s="54">
        <f>IF(N59=0,0,'Cost Schedule'!$D$426)</f>
        <v>0</v>
      </c>
      <c r="O63" s="54">
        <f>IF(O59=0,0,'Cost Schedule'!$D$426)</f>
        <v>0</v>
      </c>
      <c r="P63" s="54">
        <f>IF(P59=0,0,'Cost Schedule'!$D$426)</f>
        <v>0</v>
      </c>
      <c r="Q63" s="397"/>
      <c r="R63" s="55"/>
    </row>
    <row r="64" spans="2:18" hidden="1">
      <c r="B64" s="94" t="s">
        <v>533</v>
      </c>
      <c r="C64" s="183"/>
      <c r="D64" s="189"/>
      <c r="E64" s="49" t="s">
        <v>772</v>
      </c>
      <c r="F64" s="28" t="s">
        <v>241</v>
      </c>
      <c r="G64" s="414"/>
      <c r="H64" s="414"/>
      <c r="I64" s="414"/>
      <c r="J64" s="414"/>
      <c r="K64" s="414"/>
      <c r="L64" s="414"/>
      <c r="M64" s="414"/>
      <c r="N64" s="414"/>
      <c r="O64" s="414"/>
      <c r="P64" s="414"/>
      <c r="Q64" s="397"/>
      <c r="R64" s="49"/>
    </row>
    <row r="65" spans="2:18" hidden="1">
      <c r="B65" s="94" t="s">
        <v>533</v>
      </c>
      <c r="C65" s="183"/>
      <c r="D65" s="189"/>
      <c r="E65" s="49" t="s">
        <v>773</v>
      </c>
      <c r="F65" s="28" t="s">
        <v>207</v>
      </c>
      <c r="G65" s="148">
        <f t="shared" ref="G65:P65" si="33">IF(G64="",G63,G64)*G62</f>
        <v>0</v>
      </c>
      <c r="H65" s="148">
        <f t="shared" si="33"/>
        <v>0</v>
      </c>
      <c r="I65" s="148">
        <f t="shared" si="33"/>
        <v>0</v>
      </c>
      <c r="J65" s="148">
        <f t="shared" si="33"/>
        <v>0</v>
      </c>
      <c r="K65" s="148">
        <f t="shared" si="33"/>
        <v>0</v>
      </c>
      <c r="L65" s="148">
        <f t="shared" si="33"/>
        <v>0</v>
      </c>
      <c r="M65" s="148">
        <f t="shared" si="33"/>
        <v>0</v>
      </c>
      <c r="N65" s="148">
        <f t="shared" si="33"/>
        <v>0</v>
      </c>
      <c r="O65" s="148">
        <f t="shared" si="33"/>
        <v>0</v>
      </c>
      <c r="P65" s="148">
        <f t="shared" si="33"/>
        <v>0</v>
      </c>
      <c r="Q65" s="397"/>
      <c r="R65" s="55"/>
    </row>
    <row r="66" spans="2:18" ht="33.75" hidden="1">
      <c r="B66" s="94" t="s">
        <v>533</v>
      </c>
      <c r="C66" s="181" t="s">
        <v>774</v>
      </c>
      <c r="D66" s="189"/>
      <c r="E66" s="49" t="s">
        <v>634</v>
      </c>
      <c r="F66" s="28" t="s">
        <v>123</v>
      </c>
      <c r="G66" s="503" t="s">
        <v>876</v>
      </c>
      <c r="H66" s="503" t="s">
        <v>876</v>
      </c>
      <c r="I66" s="503" t="s">
        <v>876</v>
      </c>
      <c r="J66" s="503" t="s">
        <v>876</v>
      </c>
      <c r="K66" s="503" t="s">
        <v>876</v>
      </c>
      <c r="L66" s="503" t="s">
        <v>876</v>
      </c>
      <c r="M66" s="503" t="s">
        <v>876</v>
      </c>
      <c r="N66" s="503" t="s">
        <v>876</v>
      </c>
      <c r="O66" s="503" t="s">
        <v>876</v>
      </c>
      <c r="P66" s="503" t="s">
        <v>876</v>
      </c>
      <c r="Q66" s="397"/>
      <c r="R66" s="49"/>
    </row>
    <row r="67" spans="2:18" hidden="1">
      <c r="B67" s="94" t="s">
        <v>533</v>
      </c>
      <c r="C67" s="183"/>
      <c r="D67" s="189"/>
      <c r="E67" s="49" t="s">
        <v>227</v>
      </c>
      <c r="F67" s="28" t="s">
        <v>219</v>
      </c>
      <c r="G67" s="54">
        <f t="shared" ref="G67:P67" si="34">IF(G59=0,0,_xlfn.XLOOKUP(G66,Load_haul_fill_names_CS,Load_haul_fill_rates_CS))</f>
        <v>0</v>
      </c>
      <c r="H67" s="54">
        <f t="shared" si="34"/>
        <v>0</v>
      </c>
      <c r="I67" s="54">
        <f t="shared" si="34"/>
        <v>0</v>
      </c>
      <c r="J67" s="54">
        <f t="shared" si="34"/>
        <v>0</v>
      </c>
      <c r="K67" s="54">
        <f t="shared" si="34"/>
        <v>0</v>
      </c>
      <c r="L67" s="54">
        <f t="shared" si="34"/>
        <v>0</v>
      </c>
      <c r="M67" s="54">
        <f t="shared" si="34"/>
        <v>0</v>
      </c>
      <c r="N67" s="54">
        <f t="shared" si="34"/>
        <v>0</v>
      </c>
      <c r="O67" s="54">
        <f t="shared" si="34"/>
        <v>0</v>
      </c>
      <c r="P67" s="54">
        <f t="shared" si="34"/>
        <v>0</v>
      </c>
      <c r="Q67" s="397"/>
      <c r="R67" s="55"/>
    </row>
    <row r="68" spans="2:18" hidden="1">
      <c r="B68" s="94" t="s">
        <v>533</v>
      </c>
      <c r="C68" s="183"/>
      <c r="D68" s="189"/>
      <c r="E68" s="49" t="s">
        <v>229</v>
      </c>
      <c r="F68" s="28" t="s">
        <v>241</v>
      </c>
      <c r="G68" s="414"/>
      <c r="H68" s="414"/>
      <c r="I68" s="414"/>
      <c r="J68" s="414"/>
      <c r="K68" s="414"/>
      <c r="L68" s="414"/>
      <c r="M68" s="414"/>
      <c r="N68" s="414"/>
      <c r="O68" s="414"/>
      <c r="P68" s="414"/>
      <c r="Q68" s="397"/>
      <c r="R68" s="49"/>
    </row>
    <row r="69" spans="2:18" hidden="1">
      <c r="B69" s="94" t="s">
        <v>533</v>
      </c>
      <c r="C69" s="185"/>
      <c r="D69" s="189"/>
      <c r="E69" s="49" t="s">
        <v>146</v>
      </c>
      <c r="F69" s="28" t="s">
        <v>207</v>
      </c>
      <c r="G69" s="71">
        <f t="shared" ref="G69:P69" si="35">IF(G68="",G67,G68)*G62</f>
        <v>0</v>
      </c>
      <c r="H69" s="71">
        <f t="shared" si="35"/>
        <v>0</v>
      </c>
      <c r="I69" s="71">
        <f t="shared" si="35"/>
        <v>0</v>
      </c>
      <c r="J69" s="71">
        <f t="shared" si="35"/>
        <v>0</v>
      </c>
      <c r="K69" s="71">
        <f t="shared" si="35"/>
        <v>0</v>
      </c>
      <c r="L69" s="71">
        <f t="shared" si="35"/>
        <v>0</v>
      </c>
      <c r="M69" s="71">
        <f t="shared" si="35"/>
        <v>0</v>
      </c>
      <c r="N69" s="71">
        <f t="shared" si="35"/>
        <v>0</v>
      </c>
      <c r="O69" s="71">
        <f t="shared" si="35"/>
        <v>0</v>
      </c>
      <c r="P69" s="71">
        <f t="shared" si="35"/>
        <v>0</v>
      </c>
      <c r="Q69" s="397"/>
      <c r="R69" s="49"/>
    </row>
    <row r="70" spans="2:18" ht="22.5" hidden="1">
      <c r="B70" s="94" t="s">
        <v>533</v>
      </c>
      <c r="C70" s="181" t="s">
        <v>775</v>
      </c>
      <c r="D70" s="189"/>
      <c r="E70" s="47" t="s">
        <v>776</v>
      </c>
      <c r="F70" s="28" t="s">
        <v>123</v>
      </c>
      <c r="G70" s="503" t="s">
        <v>877</v>
      </c>
      <c r="H70" s="503" t="s">
        <v>877</v>
      </c>
      <c r="I70" s="503" t="s">
        <v>877</v>
      </c>
      <c r="J70" s="503" t="s">
        <v>877</v>
      </c>
      <c r="K70" s="503" t="s">
        <v>877</v>
      </c>
      <c r="L70" s="503" t="s">
        <v>877</v>
      </c>
      <c r="M70" s="503" t="s">
        <v>877</v>
      </c>
      <c r="N70" s="503" t="s">
        <v>877</v>
      </c>
      <c r="O70" s="503" t="s">
        <v>877</v>
      </c>
      <c r="P70" s="503" t="s">
        <v>877</v>
      </c>
      <c r="Q70" s="397"/>
      <c r="R70" s="49"/>
    </row>
    <row r="71" spans="2:18" hidden="1">
      <c r="B71" s="94" t="s">
        <v>533</v>
      </c>
      <c r="C71" s="183"/>
      <c r="D71" s="189"/>
      <c r="E71" s="49" t="s">
        <v>878</v>
      </c>
      <c r="F71" s="28" t="s">
        <v>241</v>
      </c>
      <c r="G71" s="54">
        <f t="shared" ref="G71:P71" si="36">IF(G59=0,0,_xlfn.XLOOKUP(G70,Dozer_push_names_CS,Dozer_push_rates_CS))</f>
        <v>0</v>
      </c>
      <c r="H71" s="54">
        <f t="shared" si="36"/>
        <v>0</v>
      </c>
      <c r="I71" s="54">
        <f t="shared" si="36"/>
        <v>0</v>
      </c>
      <c r="J71" s="54">
        <f t="shared" si="36"/>
        <v>0</v>
      </c>
      <c r="K71" s="54">
        <f t="shared" si="36"/>
        <v>0</v>
      </c>
      <c r="L71" s="54">
        <f t="shared" si="36"/>
        <v>0</v>
      </c>
      <c r="M71" s="54">
        <f t="shared" si="36"/>
        <v>0</v>
      </c>
      <c r="N71" s="54">
        <f t="shared" si="36"/>
        <v>0</v>
      </c>
      <c r="O71" s="54">
        <f t="shared" si="36"/>
        <v>0</v>
      </c>
      <c r="P71" s="54">
        <f t="shared" si="36"/>
        <v>0</v>
      </c>
      <c r="Q71" s="407"/>
      <c r="R71" s="49"/>
    </row>
    <row r="72" spans="2:18" hidden="1">
      <c r="B72" s="94" t="s">
        <v>533</v>
      </c>
      <c r="C72" s="183"/>
      <c r="D72" s="189"/>
      <c r="E72" s="49" t="s">
        <v>229</v>
      </c>
      <c r="F72" s="28" t="s">
        <v>241</v>
      </c>
      <c r="G72" s="472"/>
      <c r="H72" s="472"/>
      <c r="I72" s="472"/>
      <c r="J72" s="472"/>
      <c r="K72" s="472"/>
      <c r="L72" s="472"/>
      <c r="M72" s="472"/>
      <c r="N72" s="472"/>
      <c r="O72" s="472"/>
      <c r="P72" s="472"/>
      <c r="Q72" s="407"/>
      <c r="R72" s="49"/>
    </row>
    <row r="73" spans="2:18" hidden="1">
      <c r="B73" s="94" t="s">
        <v>533</v>
      </c>
      <c r="C73" s="185"/>
      <c r="D73" s="190"/>
      <c r="E73" s="49" t="s">
        <v>146</v>
      </c>
      <c r="F73" s="28" t="s">
        <v>207</v>
      </c>
      <c r="G73" s="201">
        <f>IF(G72="",G71,G72)*G62</f>
        <v>0</v>
      </c>
      <c r="H73" s="201">
        <f t="shared" ref="H73:P73" si="37">IF(H72="",H71,H72)*H62</f>
        <v>0</v>
      </c>
      <c r="I73" s="201">
        <f t="shared" si="37"/>
        <v>0</v>
      </c>
      <c r="J73" s="201">
        <f t="shared" si="37"/>
        <v>0</v>
      </c>
      <c r="K73" s="201">
        <f t="shared" si="37"/>
        <v>0</v>
      </c>
      <c r="L73" s="201">
        <f t="shared" si="37"/>
        <v>0</v>
      </c>
      <c r="M73" s="201">
        <f t="shared" si="37"/>
        <v>0</v>
      </c>
      <c r="N73" s="201">
        <f t="shared" si="37"/>
        <v>0</v>
      </c>
      <c r="O73" s="201">
        <f t="shared" si="37"/>
        <v>0</v>
      </c>
      <c r="P73" s="201">
        <f t="shared" si="37"/>
        <v>0</v>
      </c>
      <c r="Q73" s="397"/>
      <c r="R73" s="49"/>
    </row>
    <row r="74" spans="2:18" hidden="1">
      <c r="B74" s="94" t="s">
        <v>533</v>
      </c>
      <c r="C74" s="200"/>
      <c r="D74" s="188"/>
      <c r="E74" s="67" t="str">
        <f>C56</f>
        <v xml:space="preserve">Construct working layer </v>
      </c>
      <c r="F74" s="72"/>
      <c r="G74" s="80">
        <f t="shared" ref="G74:P74" si="38">G65+G69+G73</f>
        <v>0</v>
      </c>
      <c r="H74" s="80">
        <f t="shared" si="38"/>
        <v>0</v>
      </c>
      <c r="I74" s="80">
        <f t="shared" si="38"/>
        <v>0</v>
      </c>
      <c r="J74" s="80">
        <f t="shared" si="38"/>
        <v>0</v>
      </c>
      <c r="K74" s="80">
        <f t="shared" si="38"/>
        <v>0</v>
      </c>
      <c r="L74" s="80">
        <f t="shared" si="38"/>
        <v>0</v>
      </c>
      <c r="M74" s="80">
        <f t="shared" si="38"/>
        <v>0</v>
      </c>
      <c r="N74" s="80">
        <f t="shared" si="38"/>
        <v>0</v>
      </c>
      <c r="O74" s="80">
        <f t="shared" si="38"/>
        <v>0</v>
      </c>
      <c r="P74" s="80">
        <f t="shared" si="38"/>
        <v>0</v>
      </c>
      <c r="Q74" s="397"/>
      <c r="R74" s="49"/>
    </row>
    <row r="75" spans="2:18" hidden="1">
      <c r="B75" s="94" t="s">
        <v>533</v>
      </c>
      <c r="C75" s="187" t="s">
        <v>779</v>
      </c>
      <c r="D75" s="118" t="s">
        <v>780</v>
      </c>
      <c r="E75" s="49" t="s">
        <v>623</v>
      </c>
      <c r="F75" s="28" t="s">
        <v>299</v>
      </c>
      <c r="G75" s="70">
        <f t="shared" ref="G75:P75" si="39">G$25</f>
        <v>0</v>
      </c>
      <c r="H75" s="70">
        <f t="shared" si="39"/>
        <v>0</v>
      </c>
      <c r="I75" s="70">
        <f t="shared" si="39"/>
        <v>0</v>
      </c>
      <c r="J75" s="70">
        <f t="shared" si="39"/>
        <v>0</v>
      </c>
      <c r="K75" s="70">
        <f t="shared" si="39"/>
        <v>0</v>
      </c>
      <c r="L75" s="70">
        <f t="shared" si="39"/>
        <v>0</v>
      </c>
      <c r="M75" s="70">
        <f t="shared" si="39"/>
        <v>0</v>
      </c>
      <c r="N75" s="70">
        <f t="shared" si="39"/>
        <v>0</v>
      </c>
      <c r="O75" s="70">
        <f t="shared" si="39"/>
        <v>0</v>
      </c>
      <c r="P75" s="70">
        <f t="shared" si="39"/>
        <v>0</v>
      </c>
      <c r="Q75" s="397"/>
      <c r="R75" s="55"/>
    </row>
    <row r="76" spans="2:18" hidden="1">
      <c r="B76" s="94" t="s">
        <v>533</v>
      </c>
      <c r="C76" s="183"/>
      <c r="D76" s="189"/>
      <c r="E76" s="49" t="s">
        <v>624</v>
      </c>
      <c r="F76" s="28" t="s">
        <v>299</v>
      </c>
      <c r="G76" s="515"/>
      <c r="H76" s="515"/>
      <c r="I76" s="515"/>
      <c r="J76" s="515"/>
      <c r="K76" s="515"/>
      <c r="L76" s="515"/>
      <c r="M76" s="515"/>
      <c r="N76" s="515"/>
      <c r="O76" s="515"/>
      <c r="P76" s="515"/>
      <c r="Q76" s="397"/>
      <c r="R76" s="49"/>
    </row>
    <row r="77" spans="2:18" hidden="1">
      <c r="B77" s="94" t="s">
        <v>533</v>
      </c>
      <c r="C77" s="183"/>
      <c r="D77" s="189"/>
      <c r="E77" s="49" t="s">
        <v>625</v>
      </c>
      <c r="F77" s="28" t="s">
        <v>299</v>
      </c>
      <c r="G77" s="70">
        <f t="shared" ref="G77:P77" si="40">IF(G76="",G75,G76)</f>
        <v>0</v>
      </c>
      <c r="H77" s="70">
        <f t="shared" si="40"/>
        <v>0</v>
      </c>
      <c r="I77" s="70">
        <f t="shared" si="40"/>
        <v>0</v>
      </c>
      <c r="J77" s="70">
        <f t="shared" si="40"/>
        <v>0</v>
      </c>
      <c r="K77" s="70">
        <f t="shared" si="40"/>
        <v>0</v>
      </c>
      <c r="L77" s="70">
        <f t="shared" si="40"/>
        <v>0</v>
      </c>
      <c r="M77" s="70">
        <f t="shared" si="40"/>
        <v>0</v>
      </c>
      <c r="N77" s="70">
        <f t="shared" si="40"/>
        <v>0</v>
      </c>
      <c r="O77" s="70">
        <f t="shared" si="40"/>
        <v>0</v>
      </c>
      <c r="P77" s="70">
        <f t="shared" si="40"/>
        <v>0</v>
      </c>
      <c r="Q77" s="397"/>
      <c r="R77" s="55"/>
    </row>
    <row r="78" spans="2:18" hidden="1">
      <c r="B78" s="94" t="s">
        <v>533</v>
      </c>
      <c r="C78" s="183"/>
      <c r="D78" s="189"/>
      <c r="E78" s="47" t="s">
        <v>759</v>
      </c>
      <c r="F78" s="28" t="s">
        <v>211</v>
      </c>
      <c r="G78" s="70">
        <f>_xlfn.XLOOKUP(G$23,'Assumptions - Capping'!$E$4:$J$4,'Assumptions - Capping'!$E$18:$J$18)</f>
        <v>0.6</v>
      </c>
      <c r="H78" s="70">
        <f>_xlfn.XLOOKUP(H$23,'Assumptions - Capping'!$E$4:$J$4,'Assumptions - Capping'!$E$18:$J$18)</f>
        <v>0.3</v>
      </c>
      <c r="I78" s="70">
        <f>_xlfn.XLOOKUP(I$23,'Assumptions - Capping'!$E$4:$J$4,'Assumptions - Capping'!$E$18:$J$18)</f>
        <v>0</v>
      </c>
      <c r="J78" s="70">
        <f>_xlfn.XLOOKUP(J$23,'Assumptions - Capping'!$E$4:$J$4,'Assumptions - Capping'!$E$18:$J$18)</f>
        <v>0</v>
      </c>
      <c r="K78" s="70">
        <f>_xlfn.XLOOKUP(K$23,'Assumptions - Capping'!$E$4:$J$4,'Assumptions - Capping'!$E$18:$J$18)</f>
        <v>0</v>
      </c>
      <c r="L78" s="70">
        <f>_xlfn.XLOOKUP(L$23,'Assumptions - Capping'!$E$4:$J$4,'Assumptions - Capping'!$E$18:$J$18)</f>
        <v>0</v>
      </c>
      <c r="M78" s="70">
        <f>_xlfn.XLOOKUP(M$23,'Assumptions - Capping'!$E$4:$J$4,'Assumptions - Capping'!$E$18:$J$18)</f>
        <v>0.3</v>
      </c>
      <c r="N78" s="70">
        <f>_xlfn.XLOOKUP(N$23,'Assumptions - Capping'!$E$4:$J$4,'Assumptions - Capping'!$E$18:$J$18)</f>
        <v>0.3</v>
      </c>
      <c r="O78" s="70">
        <f>_xlfn.XLOOKUP(O$23,'Assumptions - Capping'!$E$4:$J$4,'Assumptions - Capping'!$E$18:$J$18)</f>
        <v>0.3</v>
      </c>
      <c r="P78" s="70">
        <f>_xlfn.XLOOKUP(P$23,'Assumptions - Capping'!$E$4:$J$4,'Assumptions - Capping'!$E$18:$J$18)</f>
        <v>0.3</v>
      </c>
      <c r="Q78" s="397"/>
      <c r="R78" s="49"/>
    </row>
    <row r="79" spans="2:18" hidden="1">
      <c r="B79" s="94" t="s">
        <v>533</v>
      </c>
      <c r="C79" s="183"/>
      <c r="D79" s="189"/>
      <c r="E79" s="47" t="s">
        <v>760</v>
      </c>
      <c r="F79" s="28" t="s">
        <v>211</v>
      </c>
      <c r="G79" s="411"/>
      <c r="H79" s="411"/>
      <c r="I79" s="411"/>
      <c r="J79" s="411"/>
      <c r="K79" s="411"/>
      <c r="L79" s="411"/>
      <c r="M79" s="411"/>
      <c r="N79" s="411"/>
      <c r="O79" s="411"/>
      <c r="P79" s="411"/>
      <c r="Q79" s="397"/>
      <c r="R79" s="49"/>
    </row>
    <row r="80" spans="2:18" hidden="1">
      <c r="B80" s="94" t="s">
        <v>533</v>
      </c>
      <c r="C80" s="183"/>
      <c r="D80" s="189"/>
      <c r="E80" s="47" t="s">
        <v>761</v>
      </c>
      <c r="F80" s="28" t="s">
        <v>211</v>
      </c>
      <c r="G80" s="70">
        <f>IF(G79="",G78,G79)</f>
        <v>0.6</v>
      </c>
      <c r="H80" s="70">
        <f t="shared" ref="H80" si="41">IF(H79="",H78,H79)</f>
        <v>0.3</v>
      </c>
      <c r="I80" s="70">
        <f t="shared" ref="I80" si="42">IF(I79="",I78,I79)</f>
        <v>0</v>
      </c>
      <c r="J80" s="70">
        <f t="shared" ref="J80" si="43">IF(J79="",J78,J79)</f>
        <v>0</v>
      </c>
      <c r="K80" s="70">
        <f t="shared" ref="K80" si="44">IF(K79="",K78,K79)</f>
        <v>0</v>
      </c>
      <c r="L80" s="70">
        <f t="shared" ref="L80" si="45">IF(L79="",L78,L79)</f>
        <v>0</v>
      </c>
      <c r="M80" s="70">
        <f t="shared" ref="M80" si="46">IF(M79="",M78,M79)</f>
        <v>0.3</v>
      </c>
      <c r="N80" s="70">
        <f t="shared" ref="N80" si="47">IF(N79="",N78,N79)</f>
        <v>0.3</v>
      </c>
      <c r="O80" s="70">
        <f t="shared" ref="O80" si="48">IF(O79="",O78,O79)</f>
        <v>0.3</v>
      </c>
      <c r="P80" s="70">
        <f t="shared" ref="P80" si="49">IF(P79="",P78,P79)</f>
        <v>0.3</v>
      </c>
      <c r="Q80" s="397"/>
      <c r="R80" s="49"/>
    </row>
    <row r="81" spans="2:18" hidden="1">
      <c r="B81" s="94" t="s">
        <v>533</v>
      </c>
      <c r="C81" s="185"/>
      <c r="D81" s="189"/>
      <c r="E81" s="49" t="s">
        <v>307</v>
      </c>
      <c r="F81" s="28" t="s">
        <v>219</v>
      </c>
      <c r="G81" s="58">
        <f t="shared" ref="G81:P81" si="50">G77*Conv_sqm_ha*G80</f>
        <v>0</v>
      </c>
      <c r="H81" s="58">
        <f t="shared" si="50"/>
        <v>0</v>
      </c>
      <c r="I81" s="58">
        <f t="shared" si="50"/>
        <v>0</v>
      </c>
      <c r="J81" s="58">
        <f t="shared" si="50"/>
        <v>0</v>
      </c>
      <c r="K81" s="58">
        <f t="shared" si="50"/>
        <v>0</v>
      </c>
      <c r="L81" s="58">
        <f t="shared" si="50"/>
        <v>0</v>
      </c>
      <c r="M81" s="58">
        <f t="shared" si="50"/>
        <v>0</v>
      </c>
      <c r="N81" s="58">
        <f t="shared" si="50"/>
        <v>0</v>
      </c>
      <c r="O81" s="58">
        <f t="shared" si="50"/>
        <v>0</v>
      </c>
      <c r="P81" s="58">
        <f t="shared" si="50"/>
        <v>0</v>
      </c>
      <c r="Q81" s="397"/>
      <c r="R81" s="55"/>
    </row>
    <row r="82" spans="2:18" hidden="1">
      <c r="B82" s="94" t="s">
        <v>533</v>
      </c>
      <c r="C82" s="181" t="s">
        <v>781</v>
      </c>
      <c r="D82" s="189"/>
      <c r="E82" s="49" t="s">
        <v>771</v>
      </c>
      <c r="F82" s="28" t="s">
        <v>241</v>
      </c>
      <c r="G82" s="54">
        <f>IF(G78=0,0,'Cost Schedule'!$D$482)</f>
        <v>0.39122153095927725</v>
      </c>
      <c r="H82" s="54">
        <f>IF(H78=0,0,'Cost Schedule'!$D$482)</f>
        <v>0.39122153095927725</v>
      </c>
      <c r="I82" s="54">
        <f>IF(I78=0,0,'Cost Schedule'!$D$482)</f>
        <v>0</v>
      </c>
      <c r="J82" s="54">
        <f>IF(J78=0,0,'Cost Schedule'!$D$482)</f>
        <v>0</v>
      </c>
      <c r="K82" s="54">
        <f>IF(K78=0,0,'Cost Schedule'!$D$482)</f>
        <v>0</v>
      </c>
      <c r="L82" s="54">
        <f>IF(L78=0,0,'Cost Schedule'!$D$482)</f>
        <v>0</v>
      </c>
      <c r="M82" s="54">
        <f>IF(M78=0,0,'Cost Schedule'!$D$482)</f>
        <v>0.39122153095927725</v>
      </c>
      <c r="N82" s="54">
        <f>IF(N78=0,0,'Cost Schedule'!$D$482)</f>
        <v>0.39122153095927725</v>
      </c>
      <c r="O82" s="54">
        <f>IF(O78=0,0,'Cost Schedule'!$D$482)</f>
        <v>0.39122153095927725</v>
      </c>
      <c r="P82" s="54">
        <f>IF(P78=0,0,'Cost Schedule'!$D$482)</f>
        <v>0.39122153095927725</v>
      </c>
      <c r="Q82" s="397"/>
      <c r="R82" s="55"/>
    </row>
    <row r="83" spans="2:18" hidden="1">
      <c r="B83" s="94" t="s">
        <v>533</v>
      </c>
      <c r="C83" s="183"/>
      <c r="D83" s="189"/>
      <c r="E83" s="49" t="s">
        <v>772</v>
      </c>
      <c r="F83" s="28" t="s">
        <v>241</v>
      </c>
      <c r="G83" s="414"/>
      <c r="H83" s="414"/>
      <c r="I83" s="414"/>
      <c r="J83" s="414"/>
      <c r="K83" s="414"/>
      <c r="L83" s="414"/>
      <c r="M83" s="414"/>
      <c r="N83" s="414"/>
      <c r="O83" s="414"/>
      <c r="P83" s="414"/>
      <c r="Q83" s="397"/>
      <c r="R83" s="49"/>
    </row>
    <row r="84" spans="2:18" hidden="1">
      <c r="B84" s="94" t="s">
        <v>533</v>
      </c>
      <c r="C84" s="185"/>
      <c r="D84" s="189"/>
      <c r="E84" s="49" t="s">
        <v>782</v>
      </c>
      <c r="F84" s="28" t="s">
        <v>207</v>
      </c>
      <c r="G84" s="74">
        <f t="shared" ref="G84:P84" si="51">IF(G83="",G82,G83)*G81</f>
        <v>0</v>
      </c>
      <c r="H84" s="74">
        <f t="shared" si="51"/>
        <v>0</v>
      </c>
      <c r="I84" s="74">
        <f t="shared" si="51"/>
        <v>0</v>
      </c>
      <c r="J84" s="74">
        <f t="shared" si="51"/>
        <v>0</v>
      </c>
      <c r="K84" s="74">
        <f t="shared" si="51"/>
        <v>0</v>
      </c>
      <c r="L84" s="74">
        <f t="shared" si="51"/>
        <v>0</v>
      </c>
      <c r="M84" s="74">
        <f t="shared" si="51"/>
        <v>0</v>
      </c>
      <c r="N84" s="74">
        <f t="shared" si="51"/>
        <v>0</v>
      </c>
      <c r="O84" s="74">
        <f t="shared" si="51"/>
        <v>0</v>
      </c>
      <c r="P84" s="74">
        <f t="shared" si="51"/>
        <v>0</v>
      </c>
      <c r="Q84" s="397"/>
      <c r="R84" s="55"/>
    </row>
    <row r="85" spans="2:18" hidden="1">
      <c r="B85" s="94" t="s">
        <v>533</v>
      </c>
      <c r="C85" s="191" t="s">
        <v>783</v>
      </c>
      <c r="D85" s="189"/>
      <c r="E85" s="49" t="s">
        <v>227</v>
      </c>
      <c r="F85" s="28" t="s">
        <v>219</v>
      </c>
      <c r="G85" s="54">
        <f>'Cost Schedule'!$D$47</f>
        <v>5.2445056723647641</v>
      </c>
      <c r="H85" s="54">
        <f>'Cost Schedule'!$D$47</f>
        <v>5.2445056723647641</v>
      </c>
      <c r="I85" s="54">
        <f>'Cost Schedule'!$D$47</f>
        <v>5.2445056723647641</v>
      </c>
      <c r="J85" s="54">
        <f>'Cost Schedule'!$D$47</f>
        <v>5.2445056723647641</v>
      </c>
      <c r="K85" s="54">
        <f>'Cost Schedule'!$D$47</f>
        <v>5.2445056723647641</v>
      </c>
      <c r="L85" s="54">
        <f>'Cost Schedule'!$D$47</f>
        <v>5.2445056723647641</v>
      </c>
      <c r="M85" s="54">
        <f>'Cost Schedule'!$D$47</f>
        <v>5.2445056723647641</v>
      </c>
      <c r="N85" s="54">
        <f>'Cost Schedule'!$D$47</f>
        <v>5.2445056723647641</v>
      </c>
      <c r="O85" s="54">
        <f>'Cost Schedule'!$D$47</f>
        <v>5.2445056723647641</v>
      </c>
      <c r="P85" s="54">
        <f>'Cost Schedule'!$D$47</f>
        <v>5.2445056723647641</v>
      </c>
      <c r="Q85" s="397"/>
      <c r="R85" s="55"/>
    </row>
    <row r="86" spans="2:18" hidden="1">
      <c r="B86" s="94" t="s">
        <v>533</v>
      </c>
      <c r="C86" s="181" t="s">
        <v>1024</v>
      </c>
      <c r="D86" s="189"/>
      <c r="E86" s="49" t="s">
        <v>229</v>
      </c>
      <c r="F86" s="28" t="s">
        <v>241</v>
      </c>
      <c r="G86" s="414"/>
      <c r="H86" s="414"/>
      <c r="I86" s="414"/>
      <c r="J86" s="414"/>
      <c r="K86" s="414"/>
      <c r="L86" s="414"/>
      <c r="M86" s="414"/>
      <c r="N86" s="414"/>
      <c r="O86" s="414"/>
      <c r="P86" s="414"/>
      <c r="Q86" s="397"/>
      <c r="R86" s="49"/>
    </row>
    <row r="87" spans="2:18" hidden="1">
      <c r="B87" s="94" t="s">
        <v>533</v>
      </c>
      <c r="C87" s="183"/>
      <c r="D87" s="189"/>
      <c r="E87" s="49" t="s">
        <v>146</v>
      </c>
      <c r="F87" s="28" t="s">
        <v>207</v>
      </c>
      <c r="G87" s="147">
        <f t="shared" ref="G87:P87" si="52">IF(G78=0,0,IF(G86="",G85,G86)*G81)</f>
        <v>0</v>
      </c>
      <c r="H87" s="147">
        <f t="shared" si="52"/>
        <v>0</v>
      </c>
      <c r="I87" s="147">
        <f t="shared" si="52"/>
        <v>0</v>
      </c>
      <c r="J87" s="147">
        <f t="shared" si="52"/>
        <v>0</v>
      </c>
      <c r="K87" s="147">
        <f t="shared" si="52"/>
        <v>0</v>
      </c>
      <c r="L87" s="147">
        <f t="shared" si="52"/>
        <v>0</v>
      </c>
      <c r="M87" s="147">
        <f t="shared" si="52"/>
        <v>0</v>
      </c>
      <c r="N87" s="147">
        <f t="shared" si="52"/>
        <v>0</v>
      </c>
      <c r="O87" s="147">
        <f t="shared" si="52"/>
        <v>0</v>
      </c>
      <c r="P87" s="147">
        <f t="shared" si="52"/>
        <v>0</v>
      </c>
      <c r="Q87" s="397"/>
      <c r="R87" s="49"/>
    </row>
    <row r="88" spans="2:18" ht="33.75" hidden="1">
      <c r="B88" s="94" t="s">
        <v>533</v>
      </c>
      <c r="C88" s="183"/>
      <c r="D88" s="189"/>
      <c r="E88" s="82" t="s">
        <v>784</v>
      </c>
      <c r="F88" s="28" t="s">
        <v>123</v>
      </c>
      <c r="G88" s="503" t="s">
        <v>763</v>
      </c>
      <c r="H88" s="503" t="s">
        <v>763</v>
      </c>
      <c r="I88" s="503" t="s">
        <v>763</v>
      </c>
      <c r="J88" s="503" t="s">
        <v>763</v>
      </c>
      <c r="K88" s="503" t="s">
        <v>763</v>
      </c>
      <c r="L88" s="503" t="s">
        <v>763</v>
      </c>
      <c r="M88" s="503" t="s">
        <v>763</v>
      </c>
      <c r="N88" s="503" t="s">
        <v>763</v>
      </c>
      <c r="O88" s="503" t="s">
        <v>763</v>
      </c>
      <c r="P88" s="503" t="s">
        <v>763</v>
      </c>
      <c r="Q88" s="397"/>
      <c r="R88" s="49"/>
    </row>
    <row r="89" spans="2:18" hidden="1">
      <c r="B89" s="94" t="s">
        <v>533</v>
      </c>
      <c r="C89" s="183"/>
      <c r="D89" s="189"/>
      <c r="E89" s="49" t="s">
        <v>227</v>
      </c>
      <c r="F89" s="28" t="s">
        <v>241</v>
      </c>
      <c r="G89" s="54">
        <f t="shared" ref="G89:P89" si="53">IF(G78=0,0,_xlfn.XLOOKUP(G88,Load_haul_fill_names_CS,Load_haul_fill_rates_CS))</f>
        <v>5.5772874469474321</v>
      </c>
      <c r="H89" s="54">
        <f t="shared" si="53"/>
        <v>5.5772874469474321</v>
      </c>
      <c r="I89" s="54">
        <f t="shared" si="53"/>
        <v>0</v>
      </c>
      <c r="J89" s="54">
        <f t="shared" si="53"/>
        <v>0</v>
      </c>
      <c r="K89" s="54">
        <f t="shared" si="53"/>
        <v>0</v>
      </c>
      <c r="L89" s="54">
        <f t="shared" si="53"/>
        <v>0</v>
      </c>
      <c r="M89" s="54">
        <f t="shared" si="53"/>
        <v>5.5772874469474321</v>
      </c>
      <c r="N89" s="54">
        <f t="shared" si="53"/>
        <v>5.5772874469474321</v>
      </c>
      <c r="O89" s="54">
        <f t="shared" si="53"/>
        <v>5.5772874469474321</v>
      </c>
      <c r="P89" s="54">
        <f t="shared" si="53"/>
        <v>5.5772874469474321</v>
      </c>
      <c r="Q89" s="397"/>
      <c r="R89" s="55"/>
    </row>
    <row r="90" spans="2:18" hidden="1">
      <c r="B90" s="94" t="s">
        <v>533</v>
      </c>
      <c r="C90" s="183"/>
      <c r="D90" s="189"/>
      <c r="E90" s="49" t="s">
        <v>229</v>
      </c>
      <c r="F90" s="28" t="s">
        <v>241</v>
      </c>
      <c r="G90" s="414"/>
      <c r="H90" s="414"/>
      <c r="I90" s="414"/>
      <c r="J90" s="414"/>
      <c r="K90" s="414"/>
      <c r="L90" s="414"/>
      <c r="M90" s="414"/>
      <c r="N90" s="414"/>
      <c r="O90" s="414"/>
      <c r="P90" s="414"/>
      <c r="Q90" s="397"/>
      <c r="R90" s="49"/>
    </row>
    <row r="91" spans="2:18" hidden="1">
      <c r="B91" s="94" t="s">
        <v>533</v>
      </c>
      <c r="C91" s="185"/>
      <c r="D91" s="189"/>
      <c r="E91" s="49" t="s">
        <v>146</v>
      </c>
      <c r="F91" s="28" t="s">
        <v>207</v>
      </c>
      <c r="G91" s="127">
        <f t="shared" ref="G91:P91" si="54">IF(G90="",G89,G90)*G81</f>
        <v>0</v>
      </c>
      <c r="H91" s="127">
        <f t="shared" si="54"/>
        <v>0</v>
      </c>
      <c r="I91" s="127">
        <f t="shared" si="54"/>
        <v>0</v>
      </c>
      <c r="J91" s="127">
        <f t="shared" si="54"/>
        <v>0</v>
      </c>
      <c r="K91" s="127">
        <f t="shared" si="54"/>
        <v>0</v>
      </c>
      <c r="L91" s="127">
        <f t="shared" si="54"/>
        <v>0</v>
      </c>
      <c r="M91" s="127">
        <f t="shared" si="54"/>
        <v>0</v>
      </c>
      <c r="N91" s="127">
        <f t="shared" si="54"/>
        <v>0</v>
      </c>
      <c r="O91" s="127">
        <f t="shared" si="54"/>
        <v>0</v>
      </c>
      <c r="P91" s="127">
        <f t="shared" si="54"/>
        <v>0</v>
      </c>
      <c r="Q91" s="397"/>
      <c r="R91" s="49"/>
    </row>
    <row r="92" spans="2:18" hidden="1">
      <c r="B92" s="94" t="s">
        <v>533</v>
      </c>
      <c r="C92" s="181" t="s">
        <v>1025</v>
      </c>
      <c r="D92" s="189"/>
      <c r="E92" s="49" t="s">
        <v>227</v>
      </c>
      <c r="F92" s="28" t="s">
        <v>241</v>
      </c>
      <c r="G92" s="54">
        <f>IF(G78=0,0,'Cost Schedule'!$D$482)</f>
        <v>0.39122153095927725</v>
      </c>
      <c r="H92" s="54">
        <f>IF(H78=0,0,'Cost Schedule'!$D$482)</f>
        <v>0.39122153095927725</v>
      </c>
      <c r="I92" s="54">
        <f>IF(I78=0,0,'Cost Schedule'!$D$482)</f>
        <v>0</v>
      </c>
      <c r="J92" s="54">
        <f>IF(J78=0,0,'Cost Schedule'!$D$482)</f>
        <v>0</v>
      </c>
      <c r="K92" s="54">
        <f>IF(K78=0,0,'Cost Schedule'!$D$482)</f>
        <v>0</v>
      </c>
      <c r="L92" s="54">
        <f>IF(L78=0,0,'Cost Schedule'!$D$482)</f>
        <v>0</v>
      </c>
      <c r="M92" s="54">
        <f>IF(M78=0,0,'Cost Schedule'!$D$482)</f>
        <v>0.39122153095927725</v>
      </c>
      <c r="N92" s="54">
        <f>IF(N78=0,0,'Cost Schedule'!$D$482)</f>
        <v>0.39122153095927725</v>
      </c>
      <c r="O92" s="54">
        <f>IF(O78=0,0,'Cost Schedule'!$D$482)</f>
        <v>0.39122153095927725</v>
      </c>
      <c r="P92" s="54">
        <f>IF(P78=0,0,'Cost Schedule'!$D$482)</f>
        <v>0.39122153095927725</v>
      </c>
      <c r="Q92" s="397"/>
      <c r="R92" s="55"/>
    </row>
    <row r="93" spans="2:18" hidden="1">
      <c r="B93" s="94" t="s">
        <v>533</v>
      </c>
      <c r="C93" s="183"/>
      <c r="D93" s="189"/>
      <c r="E93" s="49" t="s">
        <v>229</v>
      </c>
      <c r="F93" s="28" t="s">
        <v>241</v>
      </c>
      <c r="G93" s="414"/>
      <c r="H93" s="414"/>
      <c r="I93" s="414"/>
      <c r="J93" s="414"/>
      <c r="K93" s="414"/>
      <c r="L93" s="414"/>
      <c r="M93" s="414"/>
      <c r="N93" s="414"/>
      <c r="O93" s="414"/>
      <c r="P93" s="414"/>
      <c r="Q93" s="397"/>
      <c r="R93" s="49"/>
    </row>
    <row r="94" spans="2:18" hidden="1">
      <c r="B94" s="94" t="s">
        <v>533</v>
      </c>
      <c r="C94" s="185"/>
      <c r="D94" s="190"/>
      <c r="E94" s="49" t="s">
        <v>146</v>
      </c>
      <c r="F94" s="28" t="s">
        <v>207</v>
      </c>
      <c r="G94" s="147">
        <f t="shared" ref="G94:P94" si="55">IF(G93="",G92,G93)*G81</f>
        <v>0</v>
      </c>
      <c r="H94" s="147">
        <f t="shared" si="55"/>
        <v>0</v>
      </c>
      <c r="I94" s="147">
        <f t="shared" si="55"/>
        <v>0</v>
      </c>
      <c r="J94" s="147">
        <f t="shared" si="55"/>
        <v>0</v>
      </c>
      <c r="K94" s="147">
        <f t="shared" si="55"/>
        <v>0</v>
      </c>
      <c r="L94" s="147">
        <f t="shared" si="55"/>
        <v>0</v>
      </c>
      <c r="M94" s="147">
        <f t="shared" si="55"/>
        <v>0</v>
      </c>
      <c r="N94" s="147">
        <f t="shared" si="55"/>
        <v>0</v>
      </c>
      <c r="O94" s="147">
        <f t="shared" si="55"/>
        <v>0</v>
      </c>
      <c r="P94" s="147">
        <f t="shared" si="55"/>
        <v>0</v>
      </c>
      <c r="Q94" s="397"/>
      <c r="R94" s="49"/>
    </row>
    <row r="95" spans="2:18" hidden="1">
      <c r="B95" s="94" t="s">
        <v>533</v>
      </c>
      <c r="C95" s="200"/>
      <c r="D95" s="188"/>
      <c r="E95" s="67" t="str">
        <f>C75</f>
        <v>Construct capillary break</v>
      </c>
      <c r="F95" s="72"/>
      <c r="G95" s="80">
        <f t="shared" ref="G95:P95" si="56">G84+G87+G91+G94</f>
        <v>0</v>
      </c>
      <c r="H95" s="80">
        <f t="shared" si="56"/>
        <v>0</v>
      </c>
      <c r="I95" s="80">
        <f t="shared" si="56"/>
        <v>0</v>
      </c>
      <c r="J95" s="80">
        <f t="shared" si="56"/>
        <v>0</v>
      </c>
      <c r="K95" s="80">
        <f t="shared" si="56"/>
        <v>0</v>
      </c>
      <c r="L95" s="80">
        <f t="shared" si="56"/>
        <v>0</v>
      </c>
      <c r="M95" s="80">
        <f t="shared" si="56"/>
        <v>0</v>
      </c>
      <c r="N95" s="80">
        <f t="shared" si="56"/>
        <v>0</v>
      </c>
      <c r="O95" s="80">
        <f t="shared" si="56"/>
        <v>0</v>
      </c>
      <c r="P95" s="80">
        <f t="shared" si="56"/>
        <v>0</v>
      </c>
      <c r="Q95" s="397"/>
      <c r="R95" s="49"/>
    </row>
    <row r="96" spans="2:18" hidden="1">
      <c r="B96" s="94" t="s">
        <v>533</v>
      </c>
      <c r="C96" s="187" t="s">
        <v>786</v>
      </c>
      <c r="D96" s="118" t="s">
        <v>787</v>
      </c>
      <c r="E96" s="49" t="s">
        <v>623</v>
      </c>
      <c r="F96" s="28" t="s">
        <v>299</v>
      </c>
      <c r="G96" s="70">
        <f t="shared" ref="G96:P96" si="57">G$25</f>
        <v>0</v>
      </c>
      <c r="H96" s="70">
        <f t="shared" si="57"/>
        <v>0</v>
      </c>
      <c r="I96" s="70">
        <f t="shared" si="57"/>
        <v>0</v>
      </c>
      <c r="J96" s="70">
        <f t="shared" si="57"/>
        <v>0</v>
      </c>
      <c r="K96" s="70">
        <f t="shared" si="57"/>
        <v>0</v>
      </c>
      <c r="L96" s="70">
        <f t="shared" si="57"/>
        <v>0</v>
      </c>
      <c r="M96" s="70">
        <f t="shared" si="57"/>
        <v>0</v>
      </c>
      <c r="N96" s="70">
        <f t="shared" si="57"/>
        <v>0</v>
      </c>
      <c r="O96" s="70">
        <f t="shared" si="57"/>
        <v>0</v>
      </c>
      <c r="P96" s="70">
        <f t="shared" si="57"/>
        <v>0</v>
      </c>
      <c r="Q96" s="397"/>
      <c r="R96" s="55"/>
    </row>
    <row r="97" spans="2:18" hidden="1">
      <c r="B97" s="94" t="s">
        <v>533</v>
      </c>
      <c r="C97" s="183"/>
      <c r="D97" s="189"/>
      <c r="E97" s="49" t="s">
        <v>624</v>
      </c>
      <c r="F97" s="28" t="s">
        <v>299</v>
      </c>
      <c r="G97" s="515"/>
      <c r="H97" s="515"/>
      <c r="I97" s="515"/>
      <c r="J97" s="515"/>
      <c r="K97" s="515"/>
      <c r="L97" s="515"/>
      <c r="M97" s="515"/>
      <c r="N97" s="515"/>
      <c r="O97" s="515"/>
      <c r="P97" s="515"/>
      <c r="Q97" s="397"/>
      <c r="R97" s="49"/>
    </row>
    <row r="98" spans="2:18" hidden="1">
      <c r="B98" s="94" t="s">
        <v>533</v>
      </c>
      <c r="C98" s="183"/>
      <c r="D98" s="189"/>
      <c r="E98" s="49" t="s">
        <v>625</v>
      </c>
      <c r="F98" s="28" t="s">
        <v>299</v>
      </c>
      <c r="G98" s="70">
        <f t="shared" ref="G98:P98" si="58">IF(G97="",G96,G97)</f>
        <v>0</v>
      </c>
      <c r="H98" s="70">
        <f t="shared" si="58"/>
        <v>0</v>
      </c>
      <c r="I98" s="70">
        <f t="shared" si="58"/>
        <v>0</v>
      </c>
      <c r="J98" s="70">
        <f t="shared" si="58"/>
        <v>0</v>
      </c>
      <c r="K98" s="70">
        <f t="shared" si="58"/>
        <v>0</v>
      </c>
      <c r="L98" s="70">
        <f t="shared" si="58"/>
        <v>0</v>
      </c>
      <c r="M98" s="70">
        <f t="shared" si="58"/>
        <v>0</v>
      </c>
      <c r="N98" s="70">
        <f t="shared" si="58"/>
        <v>0</v>
      </c>
      <c r="O98" s="70">
        <f t="shared" si="58"/>
        <v>0</v>
      </c>
      <c r="P98" s="70">
        <f t="shared" si="58"/>
        <v>0</v>
      </c>
      <c r="Q98" s="397"/>
      <c r="R98" s="55"/>
    </row>
    <row r="99" spans="2:18" hidden="1">
      <c r="B99" s="94" t="s">
        <v>533</v>
      </c>
      <c r="C99" s="183"/>
      <c r="D99" s="189"/>
      <c r="E99" s="47" t="s">
        <v>759</v>
      </c>
      <c r="F99" s="28" t="s">
        <v>211</v>
      </c>
      <c r="G99" s="70">
        <f>_xlfn.XLOOKUP(G$23,'Assumptions - Capping'!$E$4:$J$4,'Assumptions - Capping'!$E$19:$J$19)</f>
        <v>0.5</v>
      </c>
      <c r="H99" s="70">
        <f>_xlfn.XLOOKUP(H$23,'Assumptions - Capping'!$E$4:$J$4,'Assumptions - Capping'!$E$19:$J$19)</f>
        <v>0</v>
      </c>
      <c r="I99" s="70">
        <f>_xlfn.XLOOKUP(I$23,'Assumptions - Capping'!$E$4:$J$4,'Assumptions - Capping'!$E$19:$J$19)</f>
        <v>0</v>
      </c>
      <c r="J99" s="70">
        <f>_xlfn.XLOOKUP(J$23,'Assumptions - Capping'!$E$4:$J$4,'Assumptions - Capping'!$E$19:$J$19)</f>
        <v>0</v>
      </c>
      <c r="K99" s="70">
        <f>_xlfn.XLOOKUP(K$23,'Assumptions - Capping'!$E$4:$J$4,'Assumptions - Capping'!$E$19:$J$19)</f>
        <v>0</v>
      </c>
      <c r="L99" s="70">
        <f>_xlfn.XLOOKUP(L$23,'Assumptions - Capping'!$E$4:$J$4,'Assumptions - Capping'!$E$19:$J$19)</f>
        <v>0</v>
      </c>
      <c r="M99" s="70">
        <f>_xlfn.XLOOKUP(M$23,'Assumptions - Capping'!$E$4:$J$4,'Assumptions - Capping'!$E$19:$J$19)</f>
        <v>0</v>
      </c>
      <c r="N99" s="70">
        <f>_xlfn.XLOOKUP(N$23,'Assumptions - Capping'!$E$4:$J$4,'Assumptions - Capping'!$E$19:$J$19)</f>
        <v>0</v>
      </c>
      <c r="O99" s="70">
        <f>_xlfn.XLOOKUP(O$23,'Assumptions - Capping'!$E$4:$J$4,'Assumptions - Capping'!$E$19:$J$19)</f>
        <v>0</v>
      </c>
      <c r="P99" s="70">
        <f>_xlfn.XLOOKUP(P$23,'Assumptions - Capping'!$E$4:$J$4,'Assumptions - Capping'!$E$19:$J$19)</f>
        <v>0</v>
      </c>
      <c r="Q99" s="397"/>
      <c r="R99" s="49"/>
    </row>
    <row r="100" spans="2:18" hidden="1">
      <c r="B100" s="94" t="s">
        <v>533</v>
      </c>
      <c r="C100" s="183"/>
      <c r="D100" s="189"/>
      <c r="E100" s="47" t="s">
        <v>760</v>
      </c>
      <c r="F100" s="28" t="s">
        <v>211</v>
      </c>
      <c r="G100" s="411"/>
      <c r="H100" s="411"/>
      <c r="I100" s="411"/>
      <c r="J100" s="411"/>
      <c r="K100" s="411"/>
      <c r="L100" s="411"/>
      <c r="M100" s="411"/>
      <c r="N100" s="411"/>
      <c r="O100" s="411"/>
      <c r="P100" s="411"/>
      <c r="Q100" s="397"/>
      <c r="R100" s="49"/>
    </row>
    <row r="101" spans="2:18" hidden="1">
      <c r="B101" s="94" t="s">
        <v>533</v>
      </c>
      <c r="C101" s="183"/>
      <c r="D101" s="189"/>
      <c r="E101" s="47" t="s">
        <v>761</v>
      </c>
      <c r="F101" s="28" t="s">
        <v>211</v>
      </c>
      <c r="G101" s="70">
        <f>IF(G100="",G99,G100)</f>
        <v>0.5</v>
      </c>
      <c r="H101" s="70">
        <f t="shared" ref="H101" si="59">IF(H100="",H99,H100)</f>
        <v>0</v>
      </c>
      <c r="I101" s="70">
        <f t="shared" ref="I101" si="60">IF(I100="",I99,I100)</f>
        <v>0</v>
      </c>
      <c r="J101" s="70">
        <f t="shared" ref="J101" si="61">IF(J100="",J99,J100)</f>
        <v>0</v>
      </c>
      <c r="K101" s="70">
        <f t="shared" ref="K101" si="62">IF(K100="",K99,K100)</f>
        <v>0</v>
      </c>
      <c r="L101" s="70">
        <f t="shared" ref="L101" si="63">IF(L100="",L99,L100)</f>
        <v>0</v>
      </c>
      <c r="M101" s="70">
        <f t="shared" ref="M101" si="64">IF(M100="",M99,M100)</f>
        <v>0</v>
      </c>
      <c r="N101" s="70">
        <f t="shared" ref="N101" si="65">IF(N100="",N99,N100)</f>
        <v>0</v>
      </c>
      <c r="O101" s="70">
        <f t="shared" ref="O101" si="66">IF(O100="",O99,O100)</f>
        <v>0</v>
      </c>
      <c r="P101" s="70">
        <f t="shared" ref="P101" si="67">IF(P100="",P99,P100)</f>
        <v>0</v>
      </c>
      <c r="Q101" s="397"/>
      <c r="R101" s="49"/>
    </row>
    <row r="102" spans="2:18" hidden="1">
      <c r="B102" s="94" t="s">
        <v>533</v>
      </c>
      <c r="C102" s="183"/>
      <c r="D102" s="189"/>
      <c r="E102" s="49" t="s">
        <v>307</v>
      </c>
      <c r="F102" s="28" t="s">
        <v>219</v>
      </c>
      <c r="G102" s="58">
        <f t="shared" ref="G102:P102" si="68">G98*Conv_sqm_ha*G101</f>
        <v>0</v>
      </c>
      <c r="H102" s="58">
        <f t="shared" si="68"/>
        <v>0</v>
      </c>
      <c r="I102" s="58">
        <f t="shared" si="68"/>
        <v>0</v>
      </c>
      <c r="J102" s="58">
        <f t="shared" si="68"/>
        <v>0</v>
      </c>
      <c r="K102" s="58">
        <f t="shared" si="68"/>
        <v>0</v>
      </c>
      <c r="L102" s="58">
        <f t="shared" si="68"/>
        <v>0</v>
      </c>
      <c r="M102" s="58">
        <f t="shared" si="68"/>
        <v>0</v>
      </c>
      <c r="N102" s="58">
        <f t="shared" si="68"/>
        <v>0</v>
      </c>
      <c r="O102" s="58">
        <f t="shared" si="68"/>
        <v>0</v>
      </c>
      <c r="P102" s="58">
        <f t="shared" si="68"/>
        <v>0</v>
      </c>
      <c r="Q102" s="397"/>
      <c r="R102" s="55"/>
    </row>
    <row r="103" spans="2:18" hidden="1">
      <c r="B103" s="94" t="s">
        <v>533</v>
      </c>
      <c r="C103" s="185"/>
      <c r="D103" s="189"/>
      <c r="E103" s="49" t="s">
        <v>322</v>
      </c>
      <c r="F103" s="28" t="s">
        <v>221</v>
      </c>
      <c r="G103" s="58">
        <f t="shared" ref="G103:P103" si="69">G102*Soil_density_clay</f>
        <v>0</v>
      </c>
      <c r="H103" s="58">
        <f t="shared" si="69"/>
        <v>0</v>
      </c>
      <c r="I103" s="58">
        <f t="shared" si="69"/>
        <v>0</v>
      </c>
      <c r="J103" s="58">
        <f t="shared" si="69"/>
        <v>0</v>
      </c>
      <c r="K103" s="58">
        <f t="shared" si="69"/>
        <v>0</v>
      </c>
      <c r="L103" s="58">
        <f t="shared" si="69"/>
        <v>0</v>
      </c>
      <c r="M103" s="58">
        <f t="shared" si="69"/>
        <v>0</v>
      </c>
      <c r="N103" s="58">
        <f t="shared" si="69"/>
        <v>0</v>
      </c>
      <c r="O103" s="58">
        <f t="shared" si="69"/>
        <v>0</v>
      </c>
      <c r="P103" s="58">
        <f t="shared" si="69"/>
        <v>0</v>
      </c>
      <c r="Q103" s="397"/>
      <c r="R103" s="55"/>
    </row>
    <row r="104" spans="2:18" hidden="1">
      <c r="B104" s="94" t="s">
        <v>533</v>
      </c>
      <c r="C104" s="191" t="s">
        <v>788</v>
      </c>
      <c r="D104" s="190"/>
      <c r="E104" s="49" t="s">
        <v>789</v>
      </c>
      <c r="F104" s="28" t="s">
        <v>123</v>
      </c>
      <c r="G104" s="503" t="s">
        <v>791</v>
      </c>
      <c r="H104" s="503" t="s">
        <v>791</v>
      </c>
      <c r="I104" s="503" t="s">
        <v>791</v>
      </c>
      <c r="J104" s="503" t="s">
        <v>791</v>
      </c>
      <c r="K104" s="503" t="s">
        <v>791</v>
      </c>
      <c r="L104" s="503" t="s">
        <v>791</v>
      </c>
      <c r="M104" s="503" t="s">
        <v>791</v>
      </c>
      <c r="N104" s="503" t="s">
        <v>791</v>
      </c>
      <c r="O104" s="503" t="s">
        <v>791</v>
      </c>
      <c r="P104" s="503" t="s">
        <v>791</v>
      </c>
      <c r="Q104" s="397"/>
      <c r="R104" s="55"/>
    </row>
    <row r="105" spans="2:18" hidden="1">
      <c r="B105" s="94" t="s">
        <v>533</v>
      </c>
      <c r="C105" s="191" t="s">
        <v>792</v>
      </c>
      <c r="D105" s="118" t="s">
        <v>793</v>
      </c>
      <c r="E105" s="49" t="s">
        <v>794</v>
      </c>
      <c r="F105" s="28" t="s">
        <v>241</v>
      </c>
      <c r="G105" s="54">
        <f>IF(G99=0,0,IF(G104=Off_site,0,'Cost Schedule'!$D$482))</f>
        <v>0.39122153095927725</v>
      </c>
      <c r="H105" s="54">
        <f>IF(H99=0,0,IF(H104=Off_site,0,'Cost Schedule'!$D$482))</f>
        <v>0</v>
      </c>
      <c r="I105" s="54">
        <f>IF(I99=0,0,IF(I104=Off_site,0,'Cost Schedule'!$D$482))</f>
        <v>0</v>
      </c>
      <c r="J105" s="54">
        <f>IF(J99=0,0,IF(J104=Off_site,0,'Cost Schedule'!$D$482))</f>
        <v>0</v>
      </c>
      <c r="K105" s="54">
        <f>IF(K99=0,0,IF(K104=Off_site,0,'Cost Schedule'!$D$482))</f>
        <v>0</v>
      </c>
      <c r="L105" s="54">
        <f>IF(L99=0,0,IF(L104=Off_site,0,'Cost Schedule'!$D$482))</f>
        <v>0</v>
      </c>
      <c r="M105" s="54">
        <f>IF(M99=0,0,IF(M104=Off_site,0,'Cost Schedule'!$D$482))</f>
        <v>0</v>
      </c>
      <c r="N105" s="54">
        <f>IF(N99=0,0,IF(N104=Off_site,0,'Cost Schedule'!$D$482))</f>
        <v>0</v>
      </c>
      <c r="O105" s="54">
        <f>IF(O99=0,0,IF(O104=Off_site,0,'Cost Schedule'!$D$482))</f>
        <v>0</v>
      </c>
      <c r="P105" s="54">
        <f>IF(P99=0,0,IF(P104=Off_site,0,'Cost Schedule'!$D$482))</f>
        <v>0</v>
      </c>
      <c r="Q105" s="397"/>
      <c r="R105" s="55"/>
    </row>
    <row r="106" spans="2:18" hidden="1">
      <c r="B106" s="94" t="s">
        <v>533</v>
      </c>
      <c r="C106" s="191"/>
      <c r="D106" s="189"/>
      <c r="E106" s="49" t="s">
        <v>795</v>
      </c>
      <c r="F106" s="28" t="s">
        <v>241</v>
      </c>
      <c r="G106" s="414"/>
      <c r="H106" s="414"/>
      <c r="I106" s="414"/>
      <c r="J106" s="414"/>
      <c r="K106" s="414"/>
      <c r="L106" s="414"/>
      <c r="M106" s="414"/>
      <c r="N106" s="414"/>
      <c r="O106" s="414"/>
      <c r="P106" s="414"/>
      <c r="Q106" s="397"/>
      <c r="R106" s="49"/>
    </row>
    <row r="107" spans="2:18" hidden="1">
      <c r="B107" s="94" t="s">
        <v>533</v>
      </c>
      <c r="C107" s="191" t="s">
        <v>796</v>
      </c>
      <c r="D107" s="189"/>
      <c r="E107" s="49" t="s">
        <v>782</v>
      </c>
      <c r="F107" s="28" t="s">
        <v>207</v>
      </c>
      <c r="G107" s="126">
        <f t="shared" ref="G107:P107" si="70">IF(G106="",G105,G106)*G102</f>
        <v>0</v>
      </c>
      <c r="H107" s="126">
        <f t="shared" si="70"/>
        <v>0</v>
      </c>
      <c r="I107" s="126">
        <f t="shared" si="70"/>
        <v>0</v>
      </c>
      <c r="J107" s="126">
        <f t="shared" si="70"/>
        <v>0</v>
      </c>
      <c r="K107" s="126">
        <f t="shared" si="70"/>
        <v>0</v>
      </c>
      <c r="L107" s="126">
        <f t="shared" si="70"/>
        <v>0</v>
      </c>
      <c r="M107" s="126">
        <f t="shared" si="70"/>
        <v>0</v>
      </c>
      <c r="N107" s="126">
        <f t="shared" si="70"/>
        <v>0</v>
      </c>
      <c r="O107" s="126">
        <f t="shared" si="70"/>
        <v>0</v>
      </c>
      <c r="P107" s="126">
        <f t="shared" si="70"/>
        <v>0</v>
      </c>
      <c r="Q107" s="397"/>
      <c r="R107" s="55"/>
    </row>
    <row r="108" spans="2:18" ht="33.75" hidden="1">
      <c r="B108" s="94" t="s">
        <v>533</v>
      </c>
      <c r="C108" s="181" t="s">
        <v>557</v>
      </c>
      <c r="D108" s="189"/>
      <c r="E108" s="82" t="s">
        <v>797</v>
      </c>
      <c r="F108" s="28" t="s">
        <v>123</v>
      </c>
      <c r="G108" s="503" t="s">
        <v>763</v>
      </c>
      <c r="H108" s="503" t="s">
        <v>763</v>
      </c>
      <c r="I108" s="503" t="s">
        <v>763</v>
      </c>
      <c r="J108" s="503" t="s">
        <v>763</v>
      </c>
      <c r="K108" s="503" t="s">
        <v>763</v>
      </c>
      <c r="L108" s="503" t="s">
        <v>763</v>
      </c>
      <c r="M108" s="503" t="s">
        <v>763</v>
      </c>
      <c r="N108" s="503" t="s">
        <v>763</v>
      </c>
      <c r="O108" s="503" t="s">
        <v>763</v>
      </c>
      <c r="P108" s="503" t="s">
        <v>763</v>
      </c>
      <c r="Q108" s="397"/>
      <c r="R108" s="49"/>
    </row>
    <row r="109" spans="2:18" hidden="1">
      <c r="B109" s="94" t="s">
        <v>533</v>
      </c>
      <c r="C109" s="183"/>
      <c r="D109" s="189"/>
      <c r="E109" s="82" t="s">
        <v>798</v>
      </c>
      <c r="F109" s="28" t="s">
        <v>241</v>
      </c>
      <c r="G109" s="54">
        <f t="shared" ref="G109:P109" si="71">IF(G99=0,0,IF(G104=Off_site,0,_xlfn.XLOOKUP(G108,Load_haul_fill_names_CS,Load_haul_fill_rates_CS)))</f>
        <v>5.5772874469474321</v>
      </c>
      <c r="H109" s="54">
        <f t="shared" si="71"/>
        <v>0</v>
      </c>
      <c r="I109" s="54">
        <f t="shared" si="71"/>
        <v>0</v>
      </c>
      <c r="J109" s="54">
        <f t="shared" si="71"/>
        <v>0</v>
      </c>
      <c r="K109" s="54">
        <f t="shared" si="71"/>
        <v>0</v>
      </c>
      <c r="L109" s="54">
        <f t="shared" si="71"/>
        <v>0</v>
      </c>
      <c r="M109" s="54">
        <f t="shared" si="71"/>
        <v>0</v>
      </c>
      <c r="N109" s="54">
        <f t="shared" si="71"/>
        <v>0</v>
      </c>
      <c r="O109" s="54">
        <f t="shared" si="71"/>
        <v>0</v>
      </c>
      <c r="P109" s="54">
        <f t="shared" si="71"/>
        <v>0</v>
      </c>
      <c r="Q109" s="397"/>
      <c r="R109" s="55"/>
    </row>
    <row r="110" spans="2:18" hidden="1">
      <c r="B110" s="94" t="s">
        <v>533</v>
      </c>
      <c r="C110" s="183"/>
      <c r="D110" s="189"/>
      <c r="E110" s="82" t="s">
        <v>799</v>
      </c>
      <c r="F110" s="28" t="s">
        <v>241</v>
      </c>
      <c r="G110" s="414"/>
      <c r="H110" s="414"/>
      <c r="I110" s="414"/>
      <c r="J110" s="414"/>
      <c r="K110" s="414"/>
      <c r="L110" s="414"/>
      <c r="M110" s="414"/>
      <c r="N110" s="414"/>
      <c r="O110" s="414"/>
      <c r="P110" s="415"/>
      <c r="Q110" s="397"/>
      <c r="R110" s="55"/>
    </row>
    <row r="111" spans="2:18" hidden="1">
      <c r="B111" s="94" t="s">
        <v>533</v>
      </c>
      <c r="C111" s="185"/>
      <c r="D111" s="190"/>
      <c r="E111" s="49" t="s">
        <v>146</v>
      </c>
      <c r="F111" s="28" t="s">
        <v>207</v>
      </c>
      <c r="G111" s="130">
        <f t="shared" ref="G111:P111" si="72">IF(G110="",G109,G110)*G102</f>
        <v>0</v>
      </c>
      <c r="H111" s="130">
        <f t="shared" si="72"/>
        <v>0</v>
      </c>
      <c r="I111" s="130">
        <f t="shared" si="72"/>
        <v>0</v>
      </c>
      <c r="J111" s="130">
        <f t="shared" si="72"/>
        <v>0</v>
      </c>
      <c r="K111" s="130">
        <f t="shared" si="72"/>
        <v>0</v>
      </c>
      <c r="L111" s="130">
        <f t="shared" si="72"/>
        <v>0</v>
      </c>
      <c r="M111" s="130">
        <f t="shared" si="72"/>
        <v>0</v>
      </c>
      <c r="N111" s="130">
        <f t="shared" si="72"/>
        <v>0</v>
      </c>
      <c r="O111" s="130">
        <f t="shared" si="72"/>
        <v>0</v>
      </c>
      <c r="P111" s="130">
        <f t="shared" si="72"/>
        <v>0</v>
      </c>
      <c r="Q111" s="397"/>
      <c r="R111" s="49"/>
    </row>
    <row r="112" spans="2:18" hidden="1">
      <c r="B112" s="94" t="s">
        <v>533</v>
      </c>
      <c r="C112" s="181" t="s">
        <v>800</v>
      </c>
      <c r="D112" s="118" t="s">
        <v>542</v>
      </c>
      <c r="E112" s="49" t="s">
        <v>801</v>
      </c>
      <c r="F112" s="28" t="s">
        <v>241</v>
      </c>
      <c r="G112" s="54">
        <f t="shared" ref="G112:P112" si="73">IF(G99=0,0,IF(G104=Borrow_Pit,0,Capping_clay_purchase_rate))</f>
        <v>0</v>
      </c>
      <c r="H112" s="54">
        <f t="shared" si="73"/>
        <v>0</v>
      </c>
      <c r="I112" s="54">
        <f t="shared" si="73"/>
        <v>0</v>
      </c>
      <c r="J112" s="54">
        <f t="shared" si="73"/>
        <v>0</v>
      </c>
      <c r="K112" s="54">
        <f t="shared" si="73"/>
        <v>0</v>
      </c>
      <c r="L112" s="54">
        <f t="shared" si="73"/>
        <v>0</v>
      </c>
      <c r="M112" s="54">
        <f t="shared" si="73"/>
        <v>0</v>
      </c>
      <c r="N112" s="54">
        <f t="shared" si="73"/>
        <v>0</v>
      </c>
      <c r="O112" s="54">
        <f t="shared" si="73"/>
        <v>0</v>
      </c>
      <c r="P112" s="54">
        <f t="shared" si="73"/>
        <v>0</v>
      </c>
      <c r="Q112" s="397"/>
      <c r="R112" s="150"/>
    </row>
    <row r="113" spans="2:18" hidden="1">
      <c r="B113" s="94" t="s">
        <v>533</v>
      </c>
      <c r="C113" s="183"/>
      <c r="D113" s="189"/>
      <c r="E113" s="49" t="s">
        <v>802</v>
      </c>
      <c r="F113" s="28" t="s">
        <v>241</v>
      </c>
      <c r="G113" s="414"/>
      <c r="H113" s="414"/>
      <c r="I113" s="414"/>
      <c r="J113" s="414"/>
      <c r="K113" s="414"/>
      <c r="L113" s="414"/>
      <c r="M113" s="414"/>
      <c r="N113" s="414"/>
      <c r="O113" s="414"/>
      <c r="P113" s="414"/>
      <c r="Q113" s="397"/>
      <c r="R113" s="49"/>
    </row>
    <row r="114" spans="2:18" hidden="1">
      <c r="B114" s="94" t="s">
        <v>533</v>
      </c>
      <c r="C114" s="185"/>
      <c r="D114" s="189"/>
      <c r="E114" s="49" t="s">
        <v>146</v>
      </c>
      <c r="F114" s="28" t="s">
        <v>207</v>
      </c>
      <c r="G114" s="126">
        <f t="shared" ref="G114:P114" si="74">IF(G113="",G112,G113)*G102</f>
        <v>0</v>
      </c>
      <c r="H114" s="126">
        <f t="shared" si="74"/>
        <v>0</v>
      </c>
      <c r="I114" s="126">
        <f t="shared" si="74"/>
        <v>0</v>
      </c>
      <c r="J114" s="126">
        <f t="shared" si="74"/>
        <v>0</v>
      </c>
      <c r="K114" s="126">
        <f t="shared" si="74"/>
        <v>0</v>
      </c>
      <c r="L114" s="126">
        <f t="shared" si="74"/>
        <v>0</v>
      </c>
      <c r="M114" s="126">
        <f t="shared" si="74"/>
        <v>0</v>
      </c>
      <c r="N114" s="126">
        <f t="shared" si="74"/>
        <v>0</v>
      </c>
      <c r="O114" s="126">
        <f t="shared" si="74"/>
        <v>0</v>
      </c>
      <c r="P114" s="126">
        <f t="shared" si="74"/>
        <v>0</v>
      </c>
      <c r="Q114" s="397"/>
      <c r="R114" s="49"/>
    </row>
    <row r="115" spans="2:18" ht="22.5" hidden="1">
      <c r="B115" s="94" t="s">
        <v>533</v>
      </c>
      <c r="C115" s="181" t="s">
        <v>557</v>
      </c>
      <c r="D115" s="189"/>
      <c r="E115" s="82" t="s">
        <v>803</v>
      </c>
      <c r="F115" s="28" t="s">
        <v>123</v>
      </c>
      <c r="G115" s="503" t="s">
        <v>804</v>
      </c>
      <c r="H115" s="503" t="s">
        <v>804</v>
      </c>
      <c r="I115" s="503" t="s">
        <v>804</v>
      </c>
      <c r="J115" s="503" t="s">
        <v>804</v>
      </c>
      <c r="K115" s="503" t="s">
        <v>804</v>
      </c>
      <c r="L115" s="503" t="s">
        <v>804</v>
      </c>
      <c r="M115" s="503" t="s">
        <v>804</v>
      </c>
      <c r="N115" s="503" t="s">
        <v>804</v>
      </c>
      <c r="O115" s="503" t="s">
        <v>804</v>
      </c>
      <c r="P115" s="503" t="s">
        <v>804</v>
      </c>
      <c r="Q115" s="397"/>
      <c r="R115" s="49"/>
    </row>
    <row r="116" spans="2:18" hidden="1">
      <c r="B116" s="94" t="s">
        <v>533</v>
      </c>
      <c r="C116" s="183"/>
      <c r="D116" s="189"/>
      <c r="E116" s="82" t="s">
        <v>805</v>
      </c>
      <c r="F116" s="28" t="s">
        <v>234</v>
      </c>
      <c r="G116" s="54">
        <f t="shared" ref="G116:P116" si="75">IF(G99=0,0,IF(G104=Borrow_Pit,0,_xlfn.XLOOKUP(G115,Long_haul_clay_names_CS,Long_haul_clay_rates_CS)))</f>
        <v>0</v>
      </c>
      <c r="H116" s="54">
        <f t="shared" si="75"/>
        <v>0</v>
      </c>
      <c r="I116" s="54">
        <f t="shared" si="75"/>
        <v>0</v>
      </c>
      <c r="J116" s="54">
        <f t="shared" si="75"/>
        <v>0</v>
      </c>
      <c r="K116" s="54">
        <f t="shared" si="75"/>
        <v>0</v>
      </c>
      <c r="L116" s="54">
        <f t="shared" si="75"/>
        <v>0</v>
      </c>
      <c r="M116" s="54">
        <f t="shared" si="75"/>
        <v>0</v>
      </c>
      <c r="N116" s="54">
        <f t="shared" si="75"/>
        <v>0</v>
      </c>
      <c r="O116" s="54">
        <f t="shared" si="75"/>
        <v>0</v>
      </c>
      <c r="P116" s="54">
        <f t="shared" si="75"/>
        <v>0</v>
      </c>
      <c r="Q116" s="397"/>
      <c r="R116" s="55"/>
    </row>
    <row r="117" spans="2:18" hidden="1">
      <c r="B117" s="94" t="s">
        <v>533</v>
      </c>
      <c r="C117" s="183"/>
      <c r="D117" s="189"/>
      <c r="E117" s="82" t="s">
        <v>806</v>
      </c>
      <c r="F117" s="28" t="s">
        <v>234</v>
      </c>
      <c r="G117" s="414"/>
      <c r="H117" s="414"/>
      <c r="I117" s="414"/>
      <c r="J117" s="414"/>
      <c r="K117" s="414"/>
      <c r="L117" s="414"/>
      <c r="M117" s="414"/>
      <c r="N117" s="414"/>
      <c r="O117" s="414"/>
      <c r="P117" s="414"/>
      <c r="Q117" s="397"/>
      <c r="R117" s="55"/>
    </row>
    <row r="118" spans="2:18" hidden="1">
      <c r="B118" s="94" t="s">
        <v>533</v>
      </c>
      <c r="C118" s="185"/>
      <c r="D118" s="190"/>
      <c r="E118" s="49" t="s">
        <v>146</v>
      </c>
      <c r="F118" s="28" t="s">
        <v>207</v>
      </c>
      <c r="G118" s="126">
        <f t="shared" ref="G118:P118" si="76">IF(G117="",G116,G117)*G103*_xlfn.XLOOKUP(G115,Long_haul_distance_names_L,Long_haul_distances_average_L)</f>
        <v>0</v>
      </c>
      <c r="H118" s="126">
        <f t="shared" si="76"/>
        <v>0</v>
      </c>
      <c r="I118" s="126">
        <f t="shared" si="76"/>
        <v>0</v>
      </c>
      <c r="J118" s="126">
        <f t="shared" si="76"/>
        <v>0</v>
      </c>
      <c r="K118" s="126">
        <f t="shared" si="76"/>
        <v>0</v>
      </c>
      <c r="L118" s="126">
        <f t="shared" si="76"/>
        <v>0</v>
      </c>
      <c r="M118" s="126">
        <f t="shared" si="76"/>
        <v>0</v>
      </c>
      <c r="N118" s="126">
        <f t="shared" si="76"/>
        <v>0</v>
      </c>
      <c r="O118" s="126">
        <f t="shared" si="76"/>
        <v>0</v>
      </c>
      <c r="P118" s="126">
        <f t="shared" si="76"/>
        <v>0</v>
      </c>
      <c r="Q118" s="397"/>
      <c r="R118" s="49"/>
    </row>
    <row r="119" spans="2:18" hidden="1">
      <c r="B119" s="94" t="s">
        <v>533</v>
      </c>
      <c r="C119" s="181" t="s">
        <v>807</v>
      </c>
      <c r="D119" s="118" t="s">
        <v>787</v>
      </c>
      <c r="E119" s="82" t="s">
        <v>738</v>
      </c>
      <c r="F119" s="28" t="s">
        <v>123</v>
      </c>
      <c r="G119" s="503" t="s">
        <v>621</v>
      </c>
      <c r="H119" s="503" t="s">
        <v>621</v>
      </c>
      <c r="I119" s="503" t="s">
        <v>621</v>
      </c>
      <c r="J119" s="503" t="s">
        <v>621</v>
      </c>
      <c r="K119" s="503" t="s">
        <v>621</v>
      </c>
      <c r="L119" s="503" t="s">
        <v>621</v>
      </c>
      <c r="M119" s="503" t="s">
        <v>621</v>
      </c>
      <c r="N119" s="503" t="s">
        <v>621</v>
      </c>
      <c r="O119" s="503" t="s">
        <v>621</v>
      </c>
      <c r="P119" s="503" t="s">
        <v>621</v>
      </c>
      <c r="Q119" s="397"/>
      <c r="R119" s="49"/>
    </row>
    <row r="120" spans="2:18" hidden="1">
      <c r="B120" s="94" t="s">
        <v>533</v>
      </c>
      <c r="C120" s="183"/>
      <c r="D120" s="189"/>
      <c r="E120" s="82" t="s">
        <v>227</v>
      </c>
      <c r="F120" s="28" t="s">
        <v>329</v>
      </c>
      <c r="G120" s="54">
        <f t="shared" ref="G120:P120" si="77">IF(G99=0,0,_xlfn.XLOOKUP(G119,Grader_trim_names_CS,Grader_trim_rates_CS))</f>
        <v>241.70290684367134</v>
      </c>
      <c r="H120" s="54">
        <f t="shared" si="77"/>
        <v>0</v>
      </c>
      <c r="I120" s="54">
        <f t="shared" si="77"/>
        <v>0</v>
      </c>
      <c r="J120" s="54">
        <f t="shared" si="77"/>
        <v>0</v>
      </c>
      <c r="K120" s="54">
        <f t="shared" si="77"/>
        <v>0</v>
      </c>
      <c r="L120" s="54">
        <f t="shared" si="77"/>
        <v>0</v>
      </c>
      <c r="M120" s="54">
        <f t="shared" si="77"/>
        <v>0</v>
      </c>
      <c r="N120" s="54">
        <f t="shared" si="77"/>
        <v>0</v>
      </c>
      <c r="O120" s="54">
        <f t="shared" si="77"/>
        <v>0</v>
      </c>
      <c r="P120" s="54">
        <f t="shared" si="77"/>
        <v>0</v>
      </c>
      <c r="Q120" s="397"/>
      <c r="R120" s="55"/>
    </row>
    <row r="121" spans="2:18" hidden="1">
      <c r="B121" s="94" t="s">
        <v>533</v>
      </c>
      <c r="C121" s="183"/>
      <c r="D121" s="189"/>
      <c r="E121" s="82" t="s">
        <v>229</v>
      </c>
      <c r="F121" s="28" t="s">
        <v>329</v>
      </c>
      <c r="G121" s="414"/>
      <c r="H121" s="414"/>
      <c r="I121" s="414"/>
      <c r="J121" s="414"/>
      <c r="K121" s="414"/>
      <c r="L121" s="414"/>
      <c r="M121" s="414"/>
      <c r="N121" s="414"/>
      <c r="O121" s="414"/>
      <c r="P121" s="414"/>
      <c r="Q121" s="397"/>
      <c r="R121" s="49"/>
    </row>
    <row r="122" spans="2:18" hidden="1">
      <c r="B122" s="94" t="s">
        <v>533</v>
      </c>
      <c r="C122" s="185"/>
      <c r="D122" s="189"/>
      <c r="E122" s="82" t="s">
        <v>146</v>
      </c>
      <c r="F122" s="28" t="s">
        <v>207</v>
      </c>
      <c r="G122" s="74">
        <f t="shared" ref="G122:P122" si="78">IF(G121="",G120,G121)*G98</f>
        <v>0</v>
      </c>
      <c r="H122" s="74">
        <f t="shared" si="78"/>
        <v>0</v>
      </c>
      <c r="I122" s="74">
        <f t="shared" si="78"/>
        <v>0</v>
      </c>
      <c r="J122" s="74">
        <f t="shared" si="78"/>
        <v>0</v>
      </c>
      <c r="K122" s="74">
        <f t="shared" si="78"/>
        <v>0</v>
      </c>
      <c r="L122" s="74">
        <f t="shared" si="78"/>
        <v>0</v>
      </c>
      <c r="M122" s="74">
        <f t="shared" si="78"/>
        <v>0</v>
      </c>
      <c r="N122" s="74">
        <f t="shared" si="78"/>
        <v>0</v>
      </c>
      <c r="O122" s="74">
        <f t="shared" si="78"/>
        <v>0</v>
      </c>
      <c r="P122" s="74">
        <f t="shared" si="78"/>
        <v>0</v>
      </c>
      <c r="Q122" s="397"/>
      <c r="R122" s="49"/>
    </row>
    <row r="123" spans="2:18" hidden="1">
      <c r="B123" s="94" t="s">
        <v>533</v>
      </c>
      <c r="C123" s="181" t="s">
        <v>808</v>
      </c>
      <c r="D123" s="189"/>
      <c r="E123" s="82" t="s">
        <v>227</v>
      </c>
      <c r="F123" s="28" t="s">
        <v>329</v>
      </c>
      <c r="G123" s="54">
        <f>IF(G99=0,0,'Cost Schedule'!$D$411)</f>
        <v>2845.9459459459458</v>
      </c>
      <c r="H123" s="54">
        <f>IF(H99=0,0,'Cost Schedule'!$D$411)</f>
        <v>0</v>
      </c>
      <c r="I123" s="54">
        <f>IF(I99=0,0,'Cost Schedule'!$D$411)</f>
        <v>0</v>
      </c>
      <c r="J123" s="54">
        <f>IF(J99=0,0,'Cost Schedule'!$D$411)</f>
        <v>0</v>
      </c>
      <c r="K123" s="54">
        <f>IF(K99=0,0,'Cost Schedule'!$D$411)</f>
        <v>0</v>
      </c>
      <c r="L123" s="54">
        <f>IF(L99=0,0,'Cost Schedule'!$D$411)</f>
        <v>0</v>
      </c>
      <c r="M123" s="54">
        <f>IF(M99=0,0,'Cost Schedule'!$D$411)</f>
        <v>0</v>
      </c>
      <c r="N123" s="54">
        <f>IF(N99=0,0,'Cost Schedule'!$D$411)</f>
        <v>0</v>
      </c>
      <c r="O123" s="54">
        <f>IF(O99=0,0,'Cost Schedule'!$D$411)</f>
        <v>0</v>
      </c>
      <c r="P123" s="54">
        <f>IF(P99=0,0,'Cost Schedule'!$D$411)</f>
        <v>0</v>
      </c>
      <c r="Q123" s="397"/>
      <c r="R123" s="55"/>
    </row>
    <row r="124" spans="2:18" hidden="1">
      <c r="B124" s="94" t="s">
        <v>533</v>
      </c>
      <c r="C124" s="183"/>
      <c r="D124" s="189"/>
      <c r="E124" s="82" t="s">
        <v>229</v>
      </c>
      <c r="F124" s="28" t="s">
        <v>329</v>
      </c>
      <c r="G124" s="414"/>
      <c r="H124" s="414"/>
      <c r="I124" s="414"/>
      <c r="J124" s="414"/>
      <c r="K124" s="414"/>
      <c r="L124" s="414"/>
      <c r="M124" s="414"/>
      <c r="N124" s="414"/>
      <c r="O124" s="414"/>
      <c r="P124" s="414"/>
      <c r="Q124" s="397"/>
      <c r="R124" s="49"/>
    </row>
    <row r="125" spans="2:18" hidden="1">
      <c r="B125" s="94" t="s">
        <v>533</v>
      </c>
      <c r="C125" s="185"/>
      <c r="D125" s="189"/>
      <c r="E125" s="82" t="s">
        <v>146</v>
      </c>
      <c r="F125" s="28" t="s">
        <v>207</v>
      </c>
      <c r="G125" s="74">
        <f t="shared" ref="G125:P125" si="79">IF(G124="",G123,G124)*G98</f>
        <v>0</v>
      </c>
      <c r="H125" s="74">
        <f t="shared" si="79"/>
        <v>0</v>
      </c>
      <c r="I125" s="74">
        <f t="shared" si="79"/>
        <v>0</v>
      </c>
      <c r="J125" s="74">
        <f t="shared" si="79"/>
        <v>0</v>
      </c>
      <c r="K125" s="74">
        <f t="shared" si="79"/>
        <v>0</v>
      </c>
      <c r="L125" s="74">
        <f t="shared" si="79"/>
        <v>0</v>
      </c>
      <c r="M125" s="74">
        <f t="shared" si="79"/>
        <v>0</v>
      </c>
      <c r="N125" s="74">
        <f t="shared" si="79"/>
        <v>0</v>
      </c>
      <c r="O125" s="74">
        <f t="shared" si="79"/>
        <v>0</v>
      </c>
      <c r="P125" s="74">
        <f t="shared" si="79"/>
        <v>0</v>
      </c>
      <c r="Q125" s="397"/>
      <c r="R125" s="49"/>
    </row>
    <row r="126" spans="2:18" hidden="1">
      <c r="B126" s="94" t="s">
        <v>533</v>
      </c>
      <c r="C126" s="181" t="s">
        <v>809</v>
      </c>
      <c r="D126" s="189"/>
      <c r="E126" s="82" t="s">
        <v>227</v>
      </c>
      <c r="F126" s="28" t="s">
        <v>241</v>
      </c>
      <c r="G126" s="54">
        <f>'Cost Schedule'!$D$482</f>
        <v>0.39122153095927725</v>
      </c>
      <c r="H126" s="54">
        <f>'Cost Schedule'!$D$482</f>
        <v>0.39122153095927725</v>
      </c>
      <c r="I126" s="54">
        <f>'Cost Schedule'!$D$482</f>
        <v>0.39122153095927725</v>
      </c>
      <c r="J126" s="54">
        <f>'Cost Schedule'!$D$482</f>
        <v>0.39122153095927725</v>
      </c>
      <c r="K126" s="54">
        <f>'Cost Schedule'!$D$482</f>
        <v>0.39122153095927725</v>
      </c>
      <c r="L126" s="54">
        <f>'Cost Schedule'!$D$482</f>
        <v>0.39122153095927725</v>
      </c>
      <c r="M126" s="54">
        <f>'Cost Schedule'!$D$482</f>
        <v>0.39122153095927725</v>
      </c>
      <c r="N126" s="54">
        <f>'Cost Schedule'!$D$482</f>
        <v>0.39122153095927725</v>
      </c>
      <c r="O126" s="54">
        <f>'Cost Schedule'!$D$482</f>
        <v>0.39122153095927725</v>
      </c>
      <c r="P126" s="54">
        <f>'Cost Schedule'!$D$482</f>
        <v>0.39122153095927725</v>
      </c>
      <c r="Q126" s="397"/>
      <c r="R126" s="55"/>
    </row>
    <row r="127" spans="2:18" hidden="1">
      <c r="B127" s="94" t="s">
        <v>533</v>
      </c>
      <c r="C127" s="183"/>
      <c r="D127" s="189"/>
      <c r="E127" s="82" t="s">
        <v>229</v>
      </c>
      <c r="F127" s="28" t="s">
        <v>241</v>
      </c>
      <c r="G127" s="414"/>
      <c r="H127" s="414"/>
      <c r="I127" s="414"/>
      <c r="J127" s="414"/>
      <c r="K127" s="414"/>
      <c r="L127" s="414"/>
      <c r="M127" s="414"/>
      <c r="N127" s="414"/>
      <c r="O127" s="414"/>
      <c r="P127" s="414"/>
      <c r="Q127" s="397"/>
      <c r="R127" s="49"/>
    </row>
    <row r="128" spans="2:18" hidden="1">
      <c r="B128" s="94" t="s">
        <v>533</v>
      </c>
      <c r="C128" s="185"/>
      <c r="D128" s="189"/>
      <c r="E128" s="82" t="s">
        <v>146</v>
      </c>
      <c r="F128" s="28" t="s">
        <v>207</v>
      </c>
      <c r="G128" s="74">
        <f t="shared" ref="G128:P128" si="80">IF(G127="",G126,G127)*G102*4</f>
        <v>0</v>
      </c>
      <c r="H128" s="74">
        <f t="shared" si="80"/>
        <v>0</v>
      </c>
      <c r="I128" s="74">
        <f t="shared" si="80"/>
        <v>0</v>
      </c>
      <c r="J128" s="74">
        <f t="shared" si="80"/>
        <v>0</v>
      </c>
      <c r="K128" s="74">
        <f t="shared" si="80"/>
        <v>0</v>
      </c>
      <c r="L128" s="74">
        <f t="shared" si="80"/>
        <v>0</v>
      </c>
      <c r="M128" s="74">
        <f t="shared" si="80"/>
        <v>0</v>
      </c>
      <c r="N128" s="74">
        <f t="shared" si="80"/>
        <v>0</v>
      </c>
      <c r="O128" s="74">
        <f t="shared" si="80"/>
        <v>0</v>
      </c>
      <c r="P128" s="74">
        <f t="shared" si="80"/>
        <v>0</v>
      </c>
      <c r="Q128" s="397"/>
      <c r="R128" s="49"/>
    </row>
    <row r="129" spans="2:18" hidden="1">
      <c r="B129" s="94" t="s">
        <v>533</v>
      </c>
      <c r="C129" s="181" t="s">
        <v>810</v>
      </c>
      <c r="D129" s="189"/>
      <c r="E129" s="82" t="s">
        <v>811</v>
      </c>
      <c r="F129" s="28" t="s">
        <v>329</v>
      </c>
      <c r="G129" s="54">
        <f>IF(G99=0,0,'Cost Schedule'!$D$46)</f>
        <v>8616.7643654301646</v>
      </c>
      <c r="H129" s="54">
        <f>IF(H99=0,0,'Cost Schedule'!$D$46)</f>
        <v>0</v>
      </c>
      <c r="I129" s="54">
        <f>IF(I99=0,0,'Cost Schedule'!$D$46)</f>
        <v>0</v>
      </c>
      <c r="J129" s="54">
        <f>IF(J99=0,0,'Cost Schedule'!$D$46)</f>
        <v>0</v>
      </c>
      <c r="K129" s="54">
        <f>IF(K99=0,0,'Cost Schedule'!$D$46)</f>
        <v>0</v>
      </c>
      <c r="L129" s="54">
        <f>IF(L99=0,0,'Cost Schedule'!$D$46)</f>
        <v>0</v>
      </c>
      <c r="M129" s="54">
        <f>IF(M99=0,0,'Cost Schedule'!$D$46)</f>
        <v>0</v>
      </c>
      <c r="N129" s="54">
        <f>IF(N99=0,0,'Cost Schedule'!$D$46)</f>
        <v>0</v>
      </c>
      <c r="O129" s="54">
        <f>IF(O99=0,0,'Cost Schedule'!$D$46)</f>
        <v>0</v>
      </c>
      <c r="P129" s="54">
        <f>IF(P99=0,0,'Cost Schedule'!$D$46)</f>
        <v>0</v>
      </c>
      <c r="Q129" s="397"/>
      <c r="R129" s="55"/>
    </row>
    <row r="130" spans="2:18" hidden="1">
      <c r="B130" s="94" t="s">
        <v>533</v>
      </c>
      <c r="C130" s="183"/>
      <c r="D130" s="189"/>
      <c r="E130" s="82" t="s">
        <v>812</v>
      </c>
      <c r="F130" s="28" t="s">
        <v>329</v>
      </c>
      <c r="G130" s="414"/>
      <c r="H130" s="414"/>
      <c r="I130" s="414"/>
      <c r="J130" s="414"/>
      <c r="K130" s="414"/>
      <c r="L130" s="414"/>
      <c r="M130" s="414"/>
      <c r="N130" s="414"/>
      <c r="O130" s="414"/>
      <c r="P130" s="414"/>
      <c r="Q130" s="397"/>
      <c r="R130" s="49"/>
    </row>
    <row r="131" spans="2:18" hidden="1">
      <c r="B131" s="94" t="s">
        <v>533</v>
      </c>
      <c r="C131" s="185"/>
      <c r="D131" s="190"/>
      <c r="E131" s="49" t="s">
        <v>146</v>
      </c>
      <c r="F131" s="28" t="s">
        <v>207</v>
      </c>
      <c r="G131" s="126">
        <f t="shared" ref="G131:P131" si="81">IF(G130="",G129,G130)*G98</f>
        <v>0</v>
      </c>
      <c r="H131" s="126">
        <f t="shared" si="81"/>
        <v>0</v>
      </c>
      <c r="I131" s="126">
        <f t="shared" si="81"/>
        <v>0</v>
      </c>
      <c r="J131" s="126">
        <f t="shared" si="81"/>
        <v>0</v>
      </c>
      <c r="K131" s="126">
        <f t="shared" si="81"/>
        <v>0</v>
      </c>
      <c r="L131" s="126">
        <f t="shared" si="81"/>
        <v>0</v>
      </c>
      <c r="M131" s="126">
        <f t="shared" si="81"/>
        <v>0</v>
      </c>
      <c r="N131" s="126">
        <f t="shared" si="81"/>
        <v>0</v>
      </c>
      <c r="O131" s="126">
        <f t="shared" si="81"/>
        <v>0</v>
      </c>
      <c r="P131" s="126">
        <f t="shared" si="81"/>
        <v>0</v>
      </c>
      <c r="Q131" s="397"/>
      <c r="R131" s="49"/>
    </row>
    <row r="132" spans="2:18" hidden="1">
      <c r="B132" s="94" t="s">
        <v>533</v>
      </c>
      <c r="C132" s="200"/>
      <c r="D132" s="188"/>
      <c r="E132" s="67" t="str">
        <f>C96</f>
        <v>Construct low permeability layers</v>
      </c>
      <c r="F132" s="72"/>
      <c r="G132" s="80">
        <f t="shared" ref="G132:O132" si="82">G107+G111+G114+G118+G122+G125+G128+G131</f>
        <v>0</v>
      </c>
      <c r="H132" s="80">
        <f t="shared" si="82"/>
        <v>0</v>
      </c>
      <c r="I132" s="80">
        <f t="shared" si="82"/>
        <v>0</v>
      </c>
      <c r="J132" s="80">
        <f t="shared" si="82"/>
        <v>0</v>
      </c>
      <c r="K132" s="80">
        <f t="shared" si="82"/>
        <v>0</v>
      </c>
      <c r="L132" s="80">
        <f t="shared" si="82"/>
        <v>0</v>
      </c>
      <c r="M132" s="80">
        <f t="shared" si="82"/>
        <v>0</v>
      </c>
      <c r="N132" s="80">
        <f t="shared" si="82"/>
        <v>0</v>
      </c>
      <c r="O132" s="80">
        <f t="shared" si="82"/>
        <v>0</v>
      </c>
      <c r="P132" s="80">
        <f>P107+P111+P122+P125+P128+P131+P114</f>
        <v>0</v>
      </c>
      <c r="Q132" s="397"/>
      <c r="R132" s="49"/>
    </row>
    <row r="133" spans="2:18" hidden="1">
      <c r="B133" s="94" t="s">
        <v>533</v>
      </c>
      <c r="C133" s="187" t="s">
        <v>813</v>
      </c>
      <c r="D133" s="118" t="s">
        <v>814</v>
      </c>
      <c r="E133" s="49" t="s">
        <v>623</v>
      </c>
      <c r="F133" s="28" t="s">
        <v>299</v>
      </c>
      <c r="G133" s="70">
        <f>G$25</f>
        <v>0</v>
      </c>
      <c r="H133" s="70">
        <f t="shared" ref="H133:P133" si="83">H$25</f>
        <v>0</v>
      </c>
      <c r="I133" s="70">
        <f t="shared" si="83"/>
        <v>0</v>
      </c>
      <c r="J133" s="70">
        <f t="shared" si="83"/>
        <v>0</v>
      </c>
      <c r="K133" s="70">
        <f t="shared" si="83"/>
        <v>0</v>
      </c>
      <c r="L133" s="70">
        <f t="shared" si="83"/>
        <v>0</v>
      </c>
      <c r="M133" s="70">
        <f t="shared" si="83"/>
        <v>0</v>
      </c>
      <c r="N133" s="70">
        <f t="shared" si="83"/>
        <v>0</v>
      </c>
      <c r="O133" s="70">
        <f t="shared" si="83"/>
        <v>0</v>
      </c>
      <c r="P133" s="70">
        <f t="shared" si="83"/>
        <v>0</v>
      </c>
      <c r="Q133" s="397"/>
      <c r="R133" s="150" t="s">
        <v>815</v>
      </c>
    </row>
    <row r="134" spans="2:18" hidden="1">
      <c r="B134" s="94" t="s">
        <v>533</v>
      </c>
      <c r="C134" s="183"/>
      <c r="D134" s="189"/>
      <c r="E134" s="49" t="s">
        <v>624</v>
      </c>
      <c r="F134" s="28" t="s">
        <v>299</v>
      </c>
      <c r="G134" s="515"/>
      <c r="H134" s="515"/>
      <c r="I134" s="515"/>
      <c r="J134" s="515"/>
      <c r="K134" s="515"/>
      <c r="L134" s="515"/>
      <c r="M134" s="515"/>
      <c r="N134" s="515"/>
      <c r="O134" s="515"/>
      <c r="P134" s="515"/>
      <c r="Q134" s="397"/>
      <c r="R134" s="49"/>
    </row>
    <row r="135" spans="2:18" hidden="1">
      <c r="B135" s="94" t="s">
        <v>533</v>
      </c>
      <c r="C135" s="183"/>
      <c r="D135" s="189"/>
      <c r="E135" s="49" t="s">
        <v>625</v>
      </c>
      <c r="F135" s="28" t="s">
        <v>299</v>
      </c>
      <c r="G135" s="70">
        <f t="shared" ref="G135:P135" si="84">IF(G134="",G133,G134)</f>
        <v>0</v>
      </c>
      <c r="H135" s="70">
        <f t="shared" si="84"/>
        <v>0</v>
      </c>
      <c r="I135" s="70">
        <f t="shared" si="84"/>
        <v>0</v>
      </c>
      <c r="J135" s="70">
        <f t="shared" si="84"/>
        <v>0</v>
      </c>
      <c r="K135" s="70">
        <f t="shared" si="84"/>
        <v>0</v>
      </c>
      <c r="L135" s="70">
        <f t="shared" si="84"/>
        <v>0</v>
      </c>
      <c r="M135" s="70">
        <f t="shared" si="84"/>
        <v>0</v>
      </c>
      <c r="N135" s="70">
        <f t="shared" si="84"/>
        <v>0</v>
      </c>
      <c r="O135" s="70">
        <f t="shared" si="84"/>
        <v>0</v>
      </c>
      <c r="P135" s="70">
        <f t="shared" si="84"/>
        <v>0</v>
      </c>
      <c r="Q135" s="397"/>
      <c r="R135" s="55"/>
    </row>
    <row r="136" spans="2:18" hidden="1">
      <c r="B136" s="94" t="s">
        <v>533</v>
      </c>
      <c r="C136" s="183"/>
      <c r="D136" s="189"/>
      <c r="E136" s="47" t="s">
        <v>759</v>
      </c>
      <c r="F136" s="28" t="s">
        <v>211</v>
      </c>
      <c r="G136" s="70">
        <f>_xlfn.XLOOKUP(G$23,'Assumptions - Capping'!$E$4:$J$4,'Assumptions - Capping'!$E$20:$J$20)</f>
        <v>1.5</v>
      </c>
      <c r="H136" s="70">
        <f>_xlfn.XLOOKUP(H$23,'Assumptions - Capping'!$E$4:$J$4,'Assumptions - Capping'!$E$20:$J$20)</f>
        <v>1</v>
      </c>
      <c r="I136" s="70">
        <f>_xlfn.XLOOKUP(I$23,'Assumptions - Capping'!$E$4:$J$4,'Assumptions - Capping'!$E$20:$J$20)</f>
        <v>0.5</v>
      </c>
      <c r="J136" s="70">
        <f>_xlfn.XLOOKUP(J$23,'Assumptions - Capping'!$E$4:$J$4,'Assumptions - Capping'!$E$20:$J$20)</f>
        <v>0</v>
      </c>
      <c r="K136" s="70">
        <f>_xlfn.XLOOKUP(K$23,'Assumptions - Capping'!$E$4:$J$4,'Assumptions - Capping'!$E$20:$J$20)</f>
        <v>0</v>
      </c>
      <c r="L136" s="70">
        <f>_xlfn.XLOOKUP(L$23,'Assumptions - Capping'!$E$4:$J$4,'Assumptions - Capping'!$E$20:$J$20)</f>
        <v>0</v>
      </c>
      <c r="M136" s="70">
        <f>_xlfn.XLOOKUP(M$23,'Assumptions - Capping'!$E$4:$J$4,'Assumptions - Capping'!$E$20:$J$20)</f>
        <v>1</v>
      </c>
      <c r="N136" s="70">
        <f>_xlfn.XLOOKUP(N$23,'Assumptions - Capping'!$E$4:$J$4,'Assumptions - Capping'!$E$20:$J$20)</f>
        <v>1</v>
      </c>
      <c r="O136" s="70">
        <f>_xlfn.XLOOKUP(O$23,'Assumptions - Capping'!$E$4:$J$4,'Assumptions - Capping'!$E$20:$J$20)</f>
        <v>1</v>
      </c>
      <c r="P136" s="70">
        <f>_xlfn.XLOOKUP(P$23,'Assumptions - Capping'!$E$4:$J$4,'Assumptions - Capping'!$E$20:$J$20)</f>
        <v>1</v>
      </c>
      <c r="Q136" s="397"/>
      <c r="R136" s="49"/>
    </row>
    <row r="137" spans="2:18" hidden="1">
      <c r="B137" s="94" t="s">
        <v>533</v>
      </c>
      <c r="C137" s="183"/>
      <c r="D137" s="189"/>
      <c r="E137" s="47" t="s">
        <v>760</v>
      </c>
      <c r="F137" s="28" t="s">
        <v>211</v>
      </c>
      <c r="G137" s="411"/>
      <c r="H137" s="411"/>
      <c r="I137" s="411"/>
      <c r="J137" s="411"/>
      <c r="K137" s="411"/>
      <c r="L137" s="411"/>
      <c r="M137" s="411"/>
      <c r="N137" s="411"/>
      <c r="O137" s="411"/>
      <c r="P137" s="411"/>
      <c r="Q137" s="397"/>
      <c r="R137" s="49"/>
    </row>
    <row r="138" spans="2:18" hidden="1">
      <c r="B138" s="94" t="s">
        <v>533</v>
      </c>
      <c r="C138" s="183"/>
      <c r="D138" s="189"/>
      <c r="E138" s="47" t="s">
        <v>761</v>
      </c>
      <c r="F138" s="28" t="s">
        <v>211</v>
      </c>
      <c r="G138" s="70">
        <f>IF(G137="",G136,G137)</f>
        <v>1.5</v>
      </c>
      <c r="H138" s="70">
        <f t="shared" ref="H138" si="85">IF(H137="",H136,H137)</f>
        <v>1</v>
      </c>
      <c r="I138" s="70">
        <f t="shared" ref="I138" si="86">IF(I137="",I136,I137)</f>
        <v>0.5</v>
      </c>
      <c r="J138" s="70">
        <f t="shared" ref="J138" si="87">IF(J137="",J136,J137)</f>
        <v>0</v>
      </c>
      <c r="K138" s="70">
        <f t="shared" ref="K138" si="88">IF(K137="",K136,K137)</f>
        <v>0</v>
      </c>
      <c r="L138" s="70">
        <f t="shared" ref="L138" si="89">IF(L137="",L136,L137)</f>
        <v>0</v>
      </c>
      <c r="M138" s="70">
        <f t="shared" ref="M138" si="90">IF(M137="",M136,M137)</f>
        <v>1</v>
      </c>
      <c r="N138" s="70">
        <f t="shared" ref="N138" si="91">IF(N137="",N136,N137)</f>
        <v>1</v>
      </c>
      <c r="O138" s="70">
        <f t="shared" ref="O138" si="92">IF(O137="",O136,O137)</f>
        <v>1</v>
      </c>
      <c r="P138" s="70">
        <f t="shared" ref="P138" si="93">IF(P137="",P136,P137)</f>
        <v>1</v>
      </c>
      <c r="Q138" s="397"/>
      <c r="R138" s="49"/>
    </row>
    <row r="139" spans="2:18" hidden="1">
      <c r="B139" s="94" t="s">
        <v>533</v>
      </c>
      <c r="C139" s="183"/>
      <c r="D139" s="189"/>
      <c r="E139" s="49" t="s">
        <v>307</v>
      </c>
      <c r="F139" s="28" t="s">
        <v>219</v>
      </c>
      <c r="G139" s="58">
        <f t="shared" ref="G139:P139" si="94">G135*Conv_sqm_ha*G138</f>
        <v>0</v>
      </c>
      <c r="H139" s="58">
        <f t="shared" si="94"/>
        <v>0</v>
      </c>
      <c r="I139" s="58">
        <f t="shared" si="94"/>
        <v>0</v>
      </c>
      <c r="J139" s="58">
        <f t="shared" si="94"/>
        <v>0</v>
      </c>
      <c r="K139" s="58">
        <f t="shared" si="94"/>
        <v>0</v>
      </c>
      <c r="L139" s="58">
        <f t="shared" si="94"/>
        <v>0</v>
      </c>
      <c r="M139" s="58">
        <f t="shared" si="94"/>
        <v>0</v>
      </c>
      <c r="N139" s="58">
        <f t="shared" si="94"/>
        <v>0</v>
      </c>
      <c r="O139" s="58">
        <f t="shared" si="94"/>
        <v>0</v>
      </c>
      <c r="P139" s="58">
        <f t="shared" si="94"/>
        <v>0</v>
      </c>
      <c r="Q139" s="397"/>
      <c r="R139" s="55"/>
    </row>
    <row r="140" spans="2:18" ht="33.75" hidden="1">
      <c r="B140" s="94" t="s">
        <v>533</v>
      </c>
      <c r="C140" s="181" t="s">
        <v>816</v>
      </c>
      <c r="D140" s="189"/>
      <c r="E140" s="82" t="s">
        <v>762</v>
      </c>
      <c r="F140" s="28" t="s">
        <v>123</v>
      </c>
      <c r="G140" s="503" t="s">
        <v>817</v>
      </c>
      <c r="H140" s="503" t="s">
        <v>817</v>
      </c>
      <c r="I140" s="503" t="s">
        <v>817</v>
      </c>
      <c r="J140" s="503" t="s">
        <v>817</v>
      </c>
      <c r="K140" s="503" t="s">
        <v>817</v>
      </c>
      <c r="L140" s="503" t="s">
        <v>817</v>
      </c>
      <c r="M140" s="503" t="s">
        <v>817</v>
      </c>
      <c r="N140" s="503" t="s">
        <v>817</v>
      </c>
      <c r="O140" s="503" t="s">
        <v>817</v>
      </c>
      <c r="P140" s="503" t="s">
        <v>817</v>
      </c>
      <c r="Q140" s="397"/>
      <c r="R140" s="49"/>
    </row>
    <row r="141" spans="2:18" hidden="1">
      <c r="B141" s="94" t="s">
        <v>533</v>
      </c>
      <c r="C141" s="183"/>
      <c r="D141" s="189"/>
      <c r="E141" s="49" t="s">
        <v>227</v>
      </c>
      <c r="F141" s="28" t="s">
        <v>241</v>
      </c>
      <c r="G141" s="54">
        <f t="shared" ref="G141:P141" si="95">IF(G136=0,0,_xlfn.XLOOKUP(G140,Load_haul_stabilised_names_CS,Load_haul_stabilised_rates_CS))</f>
        <v>5.5737090155748836</v>
      </c>
      <c r="H141" s="54">
        <f t="shared" si="95"/>
        <v>5.5737090155748836</v>
      </c>
      <c r="I141" s="54">
        <f t="shared" si="95"/>
        <v>5.5737090155748836</v>
      </c>
      <c r="J141" s="54">
        <f t="shared" si="95"/>
        <v>0</v>
      </c>
      <c r="K141" s="54">
        <f t="shared" si="95"/>
        <v>0</v>
      </c>
      <c r="L141" s="54">
        <f t="shared" si="95"/>
        <v>0</v>
      </c>
      <c r="M141" s="54">
        <f t="shared" si="95"/>
        <v>5.5737090155748836</v>
      </c>
      <c r="N141" s="54">
        <f t="shared" si="95"/>
        <v>5.5737090155748836</v>
      </c>
      <c r="O141" s="54">
        <f t="shared" si="95"/>
        <v>5.5737090155748836</v>
      </c>
      <c r="P141" s="54">
        <f t="shared" si="95"/>
        <v>5.5737090155748836</v>
      </c>
      <c r="Q141" s="397"/>
      <c r="R141" s="55"/>
    </row>
    <row r="142" spans="2:18" hidden="1">
      <c r="B142" s="94" t="s">
        <v>533</v>
      </c>
      <c r="C142" s="183"/>
      <c r="D142" s="189"/>
      <c r="E142" s="55" t="s">
        <v>229</v>
      </c>
      <c r="F142" s="28" t="s">
        <v>241</v>
      </c>
      <c r="G142" s="414"/>
      <c r="H142" s="414"/>
      <c r="I142" s="414"/>
      <c r="J142" s="414"/>
      <c r="K142" s="414"/>
      <c r="L142" s="414"/>
      <c r="M142" s="414"/>
      <c r="N142" s="414"/>
      <c r="O142" s="414"/>
      <c r="P142" s="414"/>
      <c r="Q142" s="397"/>
      <c r="R142" s="49"/>
    </row>
    <row r="143" spans="2:18" hidden="1">
      <c r="B143" s="94" t="s">
        <v>533</v>
      </c>
      <c r="C143" s="185"/>
      <c r="D143" s="189"/>
      <c r="E143" s="49" t="s">
        <v>146</v>
      </c>
      <c r="F143" s="28" t="s">
        <v>207</v>
      </c>
      <c r="G143" s="71">
        <f t="shared" ref="G143:P143" si="96">IF(G142="",G141,G142)*G139</f>
        <v>0</v>
      </c>
      <c r="H143" s="71">
        <f t="shared" si="96"/>
        <v>0</v>
      </c>
      <c r="I143" s="71">
        <f t="shared" si="96"/>
        <v>0</v>
      </c>
      <c r="J143" s="71">
        <f t="shared" si="96"/>
        <v>0</v>
      </c>
      <c r="K143" s="71">
        <f t="shared" si="96"/>
        <v>0</v>
      </c>
      <c r="L143" s="71">
        <f t="shared" si="96"/>
        <v>0</v>
      </c>
      <c r="M143" s="71">
        <f t="shared" si="96"/>
        <v>0</v>
      </c>
      <c r="N143" s="71">
        <f t="shared" si="96"/>
        <v>0</v>
      </c>
      <c r="O143" s="71">
        <f t="shared" si="96"/>
        <v>0</v>
      </c>
      <c r="P143" s="71">
        <f t="shared" si="96"/>
        <v>0</v>
      </c>
      <c r="Q143" s="397"/>
      <c r="R143" s="49"/>
    </row>
    <row r="144" spans="2:18" ht="22.5" hidden="1">
      <c r="B144" s="94" t="s">
        <v>533</v>
      </c>
      <c r="C144" s="181" t="s">
        <v>818</v>
      </c>
      <c r="D144" s="189"/>
      <c r="E144" s="82" t="s">
        <v>819</v>
      </c>
      <c r="F144" s="28" t="s">
        <v>123</v>
      </c>
      <c r="G144" s="503" t="s">
        <v>820</v>
      </c>
      <c r="H144" s="503" t="s">
        <v>820</v>
      </c>
      <c r="I144" s="503" t="s">
        <v>820</v>
      </c>
      <c r="J144" s="503" t="s">
        <v>820</v>
      </c>
      <c r="K144" s="503" t="s">
        <v>820</v>
      </c>
      <c r="L144" s="503" t="s">
        <v>820</v>
      </c>
      <c r="M144" s="503" t="s">
        <v>820</v>
      </c>
      <c r="N144" s="503" t="s">
        <v>820</v>
      </c>
      <c r="O144" s="503" t="s">
        <v>820</v>
      </c>
      <c r="P144" s="503" t="s">
        <v>820</v>
      </c>
      <c r="Q144" s="397"/>
      <c r="R144" s="49"/>
    </row>
    <row r="145" spans="2:18" hidden="1">
      <c r="B145" s="94" t="s">
        <v>533</v>
      </c>
      <c r="C145" s="183"/>
      <c r="D145" s="189"/>
      <c r="E145" s="49" t="s">
        <v>227</v>
      </c>
      <c r="F145" s="28" t="s">
        <v>329</v>
      </c>
      <c r="G145" s="54">
        <f t="shared" ref="G145:P145" si="97">IF(G136=0,0,_xlfn.XLOOKUP(G144,Dozer_shape_doze_for_drainage_names_CS,Dozer_shape_doze_for_drainage_rates_CS))</f>
        <v>2845.9459459459458</v>
      </c>
      <c r="H145" s="54">
        <f t="shared" si="97"/>
        <v>2845.9459459459458</v>
      </c>
      <c r="I145" s="54">
        <f t="shared" si="97"/>
        <v>2845.9459459459458</v>
      </c>
      <c r="J145" s="54">
        <f t="shared" si="97"/>
        <v>0</v>
      </c>
      <c r="K145" s="54">
        <f t="shared" si="97"/>
        <v>0</v>
      </c>
      <c r="L145" s="54">
        <f t="shared" si="97"/>
        <v>0</v>
      </c>
      <c r="M145" s="54">
        <f t="shared" si="97"/>
        <v>2845.9459459459458</v>
      </c>
      <c r="N145" s="54">
        <f t="shared" si="97"/>
        <v>2845.9459459459458</v>
      </c>
      <c r="O145" s="54">
        <f t="shared" si="97"/>
        <v>2845.9459459459458</v>
      </c>
      <c r="P145" s="54">
        <f t="shared" si="97"/>
        <v>2845.9459459459458</v>
      </c>
      <c r="Q145" s="397"/>
      <c r="R145" s="55"/>
    </row>
    <row r="146" spans="2:18" hidden="1">
      <c r="B146" s="94" t="s">
        <v>533</v>
      </c>
      <c r="C146" s="183"/>
      <c r="D146" s="189"/>
      <c r="E146" s="55" t="s">
        <v>229</v>
      </c>
      <c r="F146" s="28" t="s">
        <v>329</v>
      </c>
      <c r="G146" s="414"/>
      <c r="H146" s="414"/>
      <c r="I146" s="414"/>
      <c r="J146" s="414"/>
      <c r="K146" s="414"/>
      <c r="L146" s="414"/>
      <c r="M146" s="414"/>
      <c r="N146" s="414"/>
      <c r="O146" s="414"/>
      <c r="P146" s="414"/>
      <c r="Q146" s="397"/>
      <c r="R146" s="49"/>
    </row>
    <row r="147" spans="2:18" hidden="1">
      <c r="B147" s="94" t="s">
        <v>533</v>
      </c>
      <c r="C147" s="185"/>
      <c r="D147" s="190"/>
      <c r="E147" s="49" t="s">
        <v>146</v>
      </c>
      <c r="F147" s="28" t="s">
        <v>207</v>
      </c>
      <c r="G147" s="147">
        <f t="shared" ref="G147:P147" si="98">IF(G146="",G145,G146)*G135</f>
        <v>0</v>
      </c>
      <c r="H147" s="147">
        <f t="shared" si="98"/>
        <v>0</v>
      </c>
      <c r="I147" s="147">
        <f t="shared" si="98"/>
        <v>0</v>
      </c>
      <c r="J147" s="147">
        <f t="shared" si="98"/>
        <v>0</v>
      </c>
      <c r="K147" s="147">
        <f t="shared" si="98"/>
        <v>0</v>
      </c>
      <c r="L147" s="147">
        <f t="shared" si="98"/>
        <v>0</v>
      </c>
      <c r="M147" s="147">
        <f t="shared" si="98"/>
        <v>0</v>
      </c>
      <c r="N147" s="147">
        <f t="shared" si="98"/>
        <v>0</v>
      </c>
      <c r="O147" s="147">
        <f t="shared" si="98"/>
        <v>0</v>
      </c>
      <c r="P147" s="147">
        <f t="shared" si="98"/>
        <v>0</v>
      </c>
      <c r="Q147" s="397"/>
      <c r="R147" s="49"/>
    </row>
    <row r="148" spans="2:18" hidden="1">
      <c r="B148" s="94" t="s">
        <v>533</v>
      </c>
      <c r="C148" s="200"/>
      <c r="D148" s="188"/>
      <c r="E148" s="67" t="str">
        <f>C133</f>
        <v>Place top rock cover</v>
      </c>
      <c r="F148" s="72"/>
      <c r="G148" s="80">
        <f t="shared" ref="G148:P148" si="99">G143+G147</f>
        <v>0</v>
      </c>
      <c r="H148" s="80">
        <f t="shared" si="99"/>
        <v>0</v>
      </c>
      <c r="I148" s="80">
        <f t="shared" si="99"/>
        <v>0</v>
      </c>
      <c r="J148" s="80">
        <f t="shared" si="99"/>
        <v>0</v>
      </c>
      <c r="K148" s="80">
        <f t="shared" si="99"/>
        <v>0</v>
      </c>
      <c r="L148" s="80">
        <f t="shared" si="99"/>
        <v>0</v>
      </c>
      <c r="M148" s="80">
        <f t="shared" si="99"/>
        <v>0</v>
      </c>
      <c r="N148" s="80">
        <f t="shared" si="99"/>
        <v>0</v>
      </c>
      <c r="O148" s="80">
        <f t="shared" si="99"/>
        <v>0</v>
      </c>
      <c r="P148" s="80">
        <f t="shared" si="99"/>
        <v>0</v>
      </c>
      <c r="Q148" s="397"/>
      <c r="R148" s="49"/>
    </row>
    <row r="149" spans="2:18" hidden="1">
      <c r="B149" s="94" t="s">
        <v>533</v>
      </c>
      <c r="C149" s="187" t="s">
        <v>821</v>
      </c>
      <c r="D149" s="118" t="s">
        <v>880</v>
      </c>
      <c r="E149" s="49" t="s">
        <v>623</v>
      </c>
      <c r="F149" s="28" t="s">
        <v>299</v>
      </c>
      <c r="G149" s="70">
        <f>G$25-G$26</f>
        <v>0</v>
      </c>
      <c r="H149" s="70">
        <f t="shared" ref="H149:P149" si="100">H$25-H$26</f>
        <v>0</v>
      </c>
      <c r="I149" s="70">
        <f t="shared" si="100"/>
        <v>0</v>
      </c>
      <c r="J149" s="70">
        <f t="shared" si="100"/>
        <v>0</v>
      </c>
      <c r="K149" s="70">
        <f t="shared" si="100"/>
        <v>0</v>
      </c>
      <c r="L149" s="70">
        <f t="shared" si="100"/>
        <v>0</v>
      </c>
      <c r="M149" s="70">
        <f t="shared" si="100"/>
        <v>0</v>
      </c>
      <c r="N149" s="70">
        <f t="shared" si="100"/>
        <v>0</v>
      </c>
      <c r="O149" s="70">
        <f t="shared" si="100"/>
        <v>0</v>
      </c>
      <c r="P149" s="70">
        <f t="shared" si="100"/>
        <v>0</v>
      </c>
      <c r="Q149" s="397"/>
      <c r="R149" s="55"/>
    </row>
    <row r="150" spans="2:18" hidden="1">
      <c r="B150" s="94" t="s">
        <v>533</v>
      </c>
      <c r="C150" s="183"/>
      <c r="D150" s="189"/>
      <c r="E150" s="49" t="s">
        <v>624</v>
      </c>
      <c r="F150" s="28" t="s">
        <v>299</v>
      </c>
      <c r="G150" s="515">
        <v>0</v>
      </c>
      <c r="H150" s="515">
        <v>0</v>
      </c>
      <c r="I150" s="515">
        <v>0</v>
      </c>
      <c r="J150" s="515">
        <v>0</v>
      </c>
      <c r="K150" s="515">
        <v>0</v>
      </c>
      <c r="L150" s="515">
        <v>0</v>
      </c>
      <c r="M150" s="515">
        <v>0</v>
      </c>
      <c r="N150" s="515">
        <v>0</v>
      </c>
      <c r="O150" s="515">
        <v>0</v>
      </c>
      <c r="P150" s="515">
        <v>0</v>
      </c>
      <c r="Q150" s="397"/>
      <c r="R150" s="49"/>
    </row>
    <row r="151" spans="2:18" hidden="1">
      <c r="B151" s="94" t="s">
        <v>533</v>
      </c>
      <c r="C151" s="183"/>
      <c r="D151" s="189"/>
      <c r="E151" s="49" t="s">
        <v>625</v>
      </c>
      <c r="F151" s="28" t="s">
        <v>299</v>
      </c>
      <c r="G151" s="70">
        <f t="shared" ref="G151:P151" si="101">IF(G150="",G149,G150)</f>
        <v>0</v>
      </c>
      <c r="H151" s="70">
        <f t="shared" si="101"/>
        <v>0</v>
      </c>
      <c r="I151" s="70">
        <f t="shared" si="101"/>
        <v>0</v>
      </c>
      <c r="J151" s="70">
        <f t="shared" si="101"/>
        <v>0</v>
      </c>
      <c r="K151" s="70">
        <f t="shared" si="101"/>
        <v>0</v>
      </c>
      <c r="L151" s="70">
        <f t="shared" si="101"/>
        <v>0</v>
      </c>
      <c r="M151" s="70">
        <f t="shared" si="101"/>
        <v>0</v>
      </c>
      <c r="N151" s="70">
        <f t="shared" si="101"/>
        <v>0</v>
      </c>
      <c r="O151" s="70">
        <f t="shared" si="101"/>
        <v>0</v>
      </c>
      <c r="P151" s="70">
        <f t="shared" si="101"/>
        <v>0</v>
      </c>
      <c r="Q151" s="397"/>
      <c r="R151" s="55"/>
    </row>
    <row r="152" spans="2:18" hidden="1">
      <c r="B152" s="94" t="s">
        <v>533</v>
      </c>
      <c r="C152" s="183"/>
      <c r="D152" s="189"/>
      <c r="E152" s="49" t="s">
        <v>227</v>
      </c>
      <c r="F152" s="28" t="s">
        <v>329</v>
      </c>
      <c r="G152" s="54">
        <f t="shared" ref="G152:P152" si="102">Geotextile_buy_install_CS</f>
        <v>25335</v>
      </c>
      <c r="H152" s="54">
        <f t="shared" si="102"/>
        <v>25335</v>
      </c>
      <c r="I152" s="54">
        <f t="shared" si="102"/>
        <v>25335</v>
      </c>
      <c r="J152" s="54">
        <f t="shared" si="102"/>
        <v>25335</v>
      </c>
      <c r="K152" s="54">
        <f t="shared" si="102"/>
        <v>25335</v>
      </c>
      <c r="L152" s="54">
        <f t="shared" si="102"/>
        <v>25335</v>
      </c>
      <c r="M152" s="54">
        <f t="shared" si="102"/>
        <v>25335</v>
      </c>
      <c r="N152" s="54">
        <f t="shared" si="102"/>
        <v>25335</v>
      </c>
      <c r="O152" s="54">
        <f t="shared" si="102"/>
        <v>25335</v>
      </c>
      <c r="P152" s="54">
        <f t="shared" si="102"/>
        <v>25335</v>
      </c>
      <c r="Q152" s="397"/>
      <c r="R152" s="55"/>
    </row>
    <row r="153" spans="2:18" hidden="1">
      <c r="B153" s="94" t="s">
        <v>533</v>
      </c>
      <c r="C153" s="183"/>
      <c r="D153" s="189"/>
      <c r="E153" s="55" t="s">
        <v>229</v>
      </c>
      <c r="F153" s="28" t="s">
        <v>329</v>
      </c>
      <c r="G153" s="414"/>
      <c r="H153" s="414"/>
      <c r="I153" s="414"/>
      <c r="J153" s="414"/>
      <c r="K153" s="414"/>
      <c r="L153" s="414"/>
      <c r="M153" s="414"/>
      <c r="N153" s="414"/>
      <c r="O153" s="414"/>
      <c r="P153" s="414"/>
      <c r="Q153" s="397"/>
      <c r="R153" s="49"/>
    </row>
    <row r="154" spans="2:18" hidden="1">
      <c r="B154" s="94" t="s">
        <v>533</v>
      </c>
      <c r="C154" s="183"/>
      <c r="D154" s="190"/>
      <c r="E154" s="49" t="s">
        <v>146</v>
      </c>
      <c r="F154" s="28" t="s">
        <v>207</v>
      </c>
      <c r="G154" s="151">
        <f t="shared" ref="G154:P154" si="103">IF(G153="",G152,G153)*G151</f>
        <v>0</v>
      </c>
      <c r="H154" s="151">
        <f t="shared" si="103"/>
        <v>0</v>
      </c>
      <c r="I154" s="151">
        <f t="shared" si="103"/>
        <v>0</v>
      </c>
      <c r="J154" s="151">
        <f t="shared" si="103"/>
        <v>0</v>
      </c>
      <c r="K154" s="151">
        <f t="shared" si="103"/>
        <v>0</v>
      </c>
      <c r="L154" s="151">
        <f t="shared" si="103"/>
        <v>0</v>
      </c>
      <c r="M154" s="151">
        <f t="shared" si="103"/>
        <v>0</v>
      </c>
      <c r="N154" s="151">
        <f t="shared" si="103"/>
        <v>0</v>
      </c>
      <c r="O154" s="151">
        <f t="shared" si="103"/>
        <v>0</v>
      </c>
      <c r="P154" s="151">
        <f t="shared" si="103"/>
        <v>0</v>
      </c>
      <c r="Q154" s="397"/>
      <c r="R154" s="49"/>
    </row>
    <row r="155" spans="2:18" hidden="1">
      <c r="B155" s="94" t="s">
        <v>533</v>
      </c>
      <c r="C155" s="183"/>
      <c r="D155" s="118" t="s">
        <v>823</v>
      </c>
      <c r="E155" s="49" t="s">
        <v>623</v>
      </c>
      <c r="F155" s="28" t="s">
        <v>299</v>
      </c>
      <c r="G155" s="70">
        <f>G$25-G$26</f>
        <v>0</v>
      </c>
      <c r="H155" s="70">
        <f t="shared" ref="H155:P155" si="104">H$25-H$26</f>
        <v>0</v>
      </c>
      <c r="I155" s="70">
        <f t="shared" si="104"/>
        <v>0</v>
      </c>
      <c r="J155" s="70">
        <f t="shared" si="104"/>
        <v>0</v>
      </c>
      <c r="K155" s="70">
        <f t="shared" si="104"/>
        <v>0</v>
      </c>
      <c r="L155" s="70">
        <f t="shared" si="104"/>
        <v>0</v>
      </c>
      <c r="M155" s="70">
        <f t="shared" si="104"/>
        <v>0</v>
      </c>
      <c r="N155" s="70">
        <f t="shared" si="104"/>
        <v>0</v>
      </c>
      <c r="O155" s="70">
        <f t="shared" si="104"/>
        <v>0</v>
      </c>
      <c r="P155" s="70">
        <f t="shared" si="104"/>
        <v>0</v>
      </c>
      <c r="Q155" s="397"/>
      <c r="R155" s="55"/>
    </row>
    <row r="156" spans="2:18" hidden="1">
      <c r="B156" s="94" t="s">
        <v>533</v>
      </c>
      <c r="C156" s="183"/>
      <c r="D156" s="189"/>
      <c r="E156" s="49" t="s">
        <v>624</v>
      </c>
      <c r="F156" s="28" t="s">
        <v>299</v>
      </c>
      <c r="G156" s="517">
        <v>0</v>
      </c>
      <c r="H156" s="517">
        <v>0</v>
      </c>
      <c r="I156" s="517">
        <v>0</v>
      </c>
      <c r="J156" s="517">
        <v>0</v>
      </c>
      <c r="K156" s="517">
        <v>0</v>
      </c>
      <c r="L156" s="517">
        <v>0</v>
      </c>
      <c r="M156" s="517">
        <v>0</v>
      </c>
      <c r="N156" s="517">
        <v>0</v>
      </c>
      <c r="O156" s="517">
        <v>0</v>
      </c>
      <c r="P156" s="517">
        <v>0</v>
      </c>
      <c r="Q156" s="397"/>
      <c r="R156" s="49"/>
    </row>
    <row r="157" spans="2:18" hidden="1">
      <c r="B157" s="94" t="s">
        <v>533</v>
      </c>
      <c r="C157" s="183"/>
      <c r="D157" s="189"/>
      <c r="E157" s="49" t="s">
        <v>625</v>
      </c>
      <c r="F157" s="28" t="s">
        <v>299</v>
      </c>
      <c r="G157" s="70">
        <f t="shared" ref="G157:P157" si="105">IF(G156="",G155,G156)</f>
        <v>0</v>
      </c>
      <c r="H157" s="70">
        <f t="shared" si="105"/>
        <v>0</v>
      </c>
      <c r="I157" s="70">
        <f t="shared" si="105"/>
        <v>0</v>
      </c>
      <c r="J157" s="70">
        <f t="shared" si="105"/>
        <v>0</v>
      </c>
      <c r="K157" s="70">
        <f t="shared" si="105"/>
        <v>0</v>
      </c>
      <c r="L157" s="70">
        <f t="shared" si="105"/>
        <v>0</v>
      </c>
      <c r="M157" s="70">
        <f t="shared" si="105"/>
        <v>0</v>
      </c>
      <c r="N157" s="70">
        <f t="shared" si="105"/>
        <v>0</v>
      </c>
      <c r="O157" s="70">
        <f t="shared" si="105"/>
        <v>0</v>
      </c>
      <c r="P157" s="70">
        <f t="shared" si="105"/>
        <v>0</v>
      </c>
      <c r="Q157" s="397"/>
      <c r="R157" s="55"/>
    </row>
    <row r="158" spans="2:18" hidden="1">
      <c r="B158" s="94" t="s">
        <v>533</v>
      </c>
      <c r="C158" s="183"/>
      <c r="D158" s="189"/>
      <c r="E158" s="49" t="s">
        <v>227</v>
      </c>
      <c r="F158" s="28" t="s">
        <v>329</v>
      </c>
      <c r="G158" s="54">
        <f t="shared" ref="G158:P158" si="106">Geosynthetic_buy_install_CS</f>
        <v>264610</v>
      </c>
      <c r="H158" s="54">
        <f t="shared" si="106"/>
        <v>264610</v>
      </c>
      <c r="I158" s="54">
        <f t="shared" si="106"/>
        <v>264610</v>
      </c>
      <c r="J158" s="54">
        <f t="shared" si="106"/>
        <v>264610</v>
      </c>
      <c r="K158" s="54">
        <f t="shared" si="106"/>
        <v>264610</v>
      </c>
      <c r="L158" s="54">
        <f t="shared" si="106"/>
        <v>264610</v>
      </c>
      <c r="M158" s="54">
        <f t="shared" si="106"/>
        <v>264610</v>
      </c>
      <c r="N158" s="54">
        <f t="shared" si="106"/>
        <v>264610</v>
      </c>
      <c r="O158" s="54">
        <f t="shared" si="106"/>
        <v>264610</v>
      </c>
      <c r="P158" s="54">
        <f t="shared" si="106"/>
        <v>264610</v>
      </c>
      <c r="Q158" s="397"/>
      <c r="R158" s="55"/>
    </row>
    <row r="159" spans="2:18" hidden="1">
      <c r="B159" s="94" t="s">
        <v>533</v>
      </c>
      <c r="C159" s="183"/>
      <c r="D159" s="189"/>
      <c r="E159" s="55" t="s">
        <v>229</v>
      </c>
      <c r="F159" s="28" t="s">
        <v>329</v>
      </c>
      <c r="G159" s="414"/>
      <c r="H159" s="414"/>
      <c r="I159" s="414"/>
      <c r="J159" s="414"/>
      <c r="K159" s="414"/>
      <c r="L159" s="414"/>
      <c r="M159" s="414"/>
      <c r="N159" s="414"/>
      <c r="O159" s="414"/>
      <c r="P159" s="414"/>
      <c r="Q159" s="397"/>
      <c r="R159" s="49"/>
    </row>
    <row r="160" spans="2:18" hidden="1">
      <c r="B160" s="94" t="s">
        <v>533</v>
      </c>
      <c r="C160" s="183"/>
      <c r="D160" s="190"/>
      <c r="E160" s="49" t="s">
        <v>146</v>
      </c>
      <c r="F160" s="28" t="s">
        <v>207</v>
      </c>
      <c r="G160" s="151">
        <f t="shared" ref="G160:P160" si="107">IF(G159="",G158,G159)*G157</f>
        <v>0</v>
      </c>
      <c r="H160" s="151">
        <f t="shared" si="107"/>
        <v>0</v>
      </c>
      <c r="I160" s="151">
        <f t="shared" si="107"/>
        <v>0</v>
      </c>
      <c r="J160" s="151">
        <f t="shared" si="107"/>
        <v>0</v>
      </c>
      <c r="K160" s="151">
        <f t="shared" si="107"/>
        <v>0</v>
      </c>
      <c r="L160" s="151">
        <f t="shared" si="107"/>
        <v>0</v>
      </c>
      <c r="M160" s="151">
        <f t="shared" si="107"/>
        <v>0</v>
      </c>
      <c r="N160" s="151">
        <f t="shared" si="107"/>
        <v>0</v>
      </c>
      <c r="O160" s="151">
        <f t="shared" si="107"/>
        <v>0</v>
      </c>
      <c r="P160" s="151">
        <f t="shared" si="107"/>
        <v>0</v>
      </c>
      <c r="Q160" s="397"/>
      <c r="R160" s="49"/>
    </row>
    <row r="161" spans="2:18" hidden="1">
      <c r="B161" s="94" t="s">
        <v>533</v>
      </c>
      <c r="C161" s="183"/>
      <c r="D161" s="118" t="s">
        <v>824</v>
      </c>
      <c r="E161" s="49" t="s">
        <v>623</v>
      </c>
      <c r="F161" s="28" t="s">
        <v>299</v>
      </c>
      <c r="G161" s="70">
        <f>G$25-G$26</f>
        <v>0</v>
      </c>
      <c r="H161" s="70">
        <f t="shared" ref="H161:P161" si="108">H$25-H$26</f>
        <v>0</v>
      </c>
      <c r="I161" s="70">
        <f t="shared" si="108"/>
        <v>0</v>
      </c>
      <c r="J161" s="70">
        <f t="shared" si="108"/>
        <v>0</v>
      </c>
      <c r="K161" s="70">
        <f t="shared" si="108"/>
        <v>0</v>
      </c>
      <c r="L161" s="70">
        <f t="shared" si="108"/>
        <v>0</v>
      </c>
      <c r="M161" s="70">
        <f t="shared" si="108"/>
        <v>0</v>
      </c>
      <c r="N161" s="70">
        <f t="shared" si="108"/>
        <v>0</v>
      </c>
      <c r="O161" s="70">
        <f t="shared" si="108"/>
        <v>0</v>
      </c>
      <c r="P161" s="70">
        <f t="shared" si="108"/>
        <v>0</v>
      </c>
      <c r="Q161" s="397"/>
      <c r="R161" s="55"/>
    </row>
    <row r="162" spans="2:18" hidden="1">
      <c r="B162" s="94" t="s">
        <v>533</v>
      </c>
      <c r="C162" s="183"/>
      <c r="D162" s="189"/>
      <c r="E162" s="49" t="s">
        <v>624</v>
      </c>
      <c r="F162" s="28" t="s">
        <v>299</v>
      </c>
      <c r="G162" s="517">
        <v>0</v>
      </c>
      <c r="H162" s="517">
        <v>0</v>
      </c>
      <c r="I162" s="517">
        <v>0</v>
      </c>
      <c r="J162" s="517">
        <v>0</v>
      </c>
      <c r="K162" s="517">
        <v>0</v>
      </c>
      <c r="L162" s="517">
        <v>0</v>
      </c>
      <c r="M162" s="517">
        <v>0</v>
      </c>
      <c r="N162" s="517">
        <v>0</v>
      </c>
      <c r="O162" s="517">
        <v>0</v>
      </c>
      <c r="P162" s="517">
        <v>0</v>
      </c>
      <c r="Q162" s="397"/>
      <c r="R162" s="49"/>
    </row>
    <row r="163" spans="2:18" hidden="1">
      <c r="B163" s="94" t="s">
        <v>533</v>
      </c>
      <c r="C163" s="183"/>
      <c r="D163" s="189"/>
      <c r="E163" s="49" t="s">
        <v>625</v>
      </c>
      <c r="F163" s="28" t="s">
        <v>299</v>
      </c>
      <c r="G163" s="70">
        <f t="shared" ref="G163:P163" si="109">IF(G162="",G161,G162)</f>
        <v>0</v>
      </c>
      <c r="H163" s="70">
        <f t="shared" si="109"/>
        <v>0</v>
      </c>
      <c r="I163" s="70">
        <f t="shared" si="109"/>
        <v>0</v>
      </c>
      <c r="J163" s="70">
        <f t="shared" si="109"/>
        <v>0</v>
      </c>
      <c r="K163" s="70">
        <f t="shared" si="109"/>
        <v>0</v>
      </c>
      <c r="L163" s="70">
        <f t="shared" si="109"/>
        <v>0</v>
      </c>
      <c r="M163" s="70">
        <f t="shared" si="109"/>
        <v>0</v>
      </c>
      <c r="N163" s="70">
        <f t="shared" si="109"/>
        <v>0</v>
      </c>
      <c r="O163" s="70">
        <f t="shared" si="109"/>
        <v>0</v>
      </c>
      <c r="P163" s="70">
        <f t="shared" si="109"/>
        <v>0</v>
      </c>
      <c r="Q163" s="397"/>
      <c r="R163" s="55"/>
    </row>
    <row r="164" spans="2:18" hidden="1">
      <c r="B164" s="94" t="s">
        <v>533</v>
      </c>
      <c r="C164" s="183"/>
      <c r="D164" s="189"/>
      <c r="E164" s="49" t="s">
        <v>227</v>
      </c>
      <c r="F164" s="28" t="s">
        <v>329</v>
      </c>
      <c r="G164" s="54">
        <f t="shared" ref="G164:P164" si="110">Geomembrane_buy_install_CS</f>
        <v>1277871.2549530484</v>
      </c>
      <c r="H164" s="54">
        <f t="shared" si="110"/>
        <v>1277871.2549530484</v>
      </c>
      <c r="I164" s="54">
        <f t="shared" si="110"/>
        <v>1277871.2549530484</v>
      </c>
      <c r="J164" s="54">
        <f t="shared" si="110"/>
        <v>1277871.2549530484</v>
      </c>
      <c r="K164" s="54">
        <f t="shared" si="110"/>
        <v>1277871.2549530484</v>
      </c>
      <c r="L164" s="54">
        <f t="shared" si="110"/>
        <v>1277871.2549530484</v>
      </c>
      <c r="M164" s="54">
        <f t="shared" si="110"/>
        <v>1277871.2549530484</v>
      </c>
      <c r="N164" s="54">
        <f t="shared" si="110"/>
        <v>1277871.2549530484</v>
      </c>
      <c r="O164" s="54">
        <f t="shared" si="110"/>
        <v>1277871.2549530484</v>
      </c>
      <c r="P164" s="54">
        <f t="shared" si="110"/>
        <v>1277871.2549530484</v>
      </c>
      <c r="Q164" s="397"/>
      <c r="R164" s="55"/>
    </row>
    <row r="165" spans="2:18" hidden="1">
      <c r="B165" s="94" t="s">
        <v>533</v>
      </c>
      <c r="C165" s="183"/>
      <c r="D165" s="189"/>
      <c r="E165" s="55" t="s">
        <v>229</v>
      </c>
      <c r="F165" s="28" t="s">
        <v>329</v>
      </c>
      <c r="G165" s="414"/>
      <c r="H165" s="414"/>
      <c r="I165" s="414"/>
      <c r="J165" s="414"/>
      <c r="K165" s="414"/>
      <c r="L165" s="414"/>
      <c r="M165" s="414"/>
      <c r="N165" s="414"/>
      <c r="O165" s="414"/>
      <c r="P165" s="414"/>
      <c r="Q165" s="397"/>
      <c r="R165" s="49"/>
    </row>
    <row r="166" spans="2:18" hidden="1">
      <c r="B166" s="94" t="s">
        <v>533</v>
      </c>
      <c r="C166" s="185"/>
      <c r="D166" s="196"/>
      <c r="E166" s="49" t="s">
        <v>146</v>
      </c>
      <c r="F166" s="28" t="s">
        <v>207</v>
      </c>
      <c r="G166" s="151">
        <f t="shared" ref="G166:P166" si="111">IF(G165="",G164,G165)*G163</f>
        <v>0</v>
      </c>
      <c r="H166" s="151">
        <f t="shared" si="111"/>
        <v>0</v>
      </c>
      <c r="I166" s="151">
        <f t="shared" si="111"/>
        <v>0</v>
      </c>
      <c r="J166" s="151">
        <f t="shared" si="111"/>
        <v>0</v>
      </c>
      <c r="K166" s="151">
        <f t="shared" si="111"/>
        <v>0</v>
      </c>
      <c r="L166" s="151">
        <f t="shared" si="111"/>
        <v>0</v>
      </c>
      <c r="M166" s="151">
        <f t="shared" si="111"/>
        <v>0</v>
      </c>
      <c r="N166" s="151">
        <f t="shared" si="111"/>
        <v>0</v>
      </c>
      <c r="O166" s="151">
        <f t="shared" si="111"/>
        <v>0</v>
      </c>
      <c r="P166" s="151">
        <f t="shared" si="111"/>
        <v>0</v>
      </c>
      <c r="Q166" s="397"/>
      <c r="R166" s="49"/>
    </row>
    <row r="167" spans="2:18" ht="12" hidden="1" thickBot="1">
      <c r="B167" s="94" t="s">
        <v>533</v>
      </c>
      <c r="C167" s="200"/>
      <c r="D167" s="188"/>
      <c r="E167" s="67" t="str">
        <f>C149</f>
        <v>Source and apply additional capping</v>
      </c>
      <c r="F167" s="72"/>
      <c r="G167" s="64">
        <f t="shared" ref="G167:P167" si="112">G154+G160+G166</f>
        <v>0</v>
      </c>
      <c r="H167" s="64">
        <f t="shared" si="112"/>
        <v>0</v>
      </c>
      <c r="I167" s="64">
        <f t="shared" si="112"/>
        <v>0</v>
      </c>
      <c r="J167" s="64">
        <f t="shared" si="112"/>
        <v>0</v>
      </c>
      <c r="K167" s="64">
        <f t="shared" si="112"/>
        <v>0</v>
      </c>
      <c r="L167" s="64">
        <f t="shared" si="112"/>
        <v>0</v>
      </c>
      <c r="M167" s="64">
        <f t="shared" si="112"/>
        <v>0</v>
      </c>
      <c r="N167" s="64">
        <f t="shared" si="112"/>
        <v>0</v>
      </c>
      <c r="O167" s="64">
        <f t="shared" si="112"/>
        <v>0</v>
      </c>
      <c r="P167" s="64">
        <f t="shared" si="112"/>
        <v>0</v>
      </c>
      <c r="Q167" s="397"/>
      <c r="R167" s="49"/>
    </row>
    <row r="168" spans="2:18" hidden="1">
      <c r="B168" s="94" t="s">
        <v>533</v>
      </c>
      <c r="C168" s="187" t="s">
        <v>512</v>
      </c>
      <c r="D168" s="118" t="s">
        <v>513</v>
      </c>
      <c r="E168" s="49" t="s">
        <v>623</v>
      </c>
      <c r="F168" s="28" t="s">
        <v>299</v>
      </c>
      <c r="G168" s="70">
        <f t="shared" ref="G168:P168" si="113">IF(G23=No_risk_ob_piles,0,G25*10%)</f>
        <v>0</v>
      </c>
      <c r="H168" s="70">
        <f t="shared" si="113"/>
        <v>0</v>
      </c>
      <c r="I168" s="70">
        <f t="shared" si="113"/>
        <v>0</v>
      </c>
      <c r="J168" s="70">
        <f t="shared" si="113"/>
        <v>0</v>
      </c>
      <c r="K168" s="70">
        <f t="shared" si="113"/>
        <v>0</v>
      </c>
      <c r="L168" s="70">
        <f t="shared" si="113"/>
        <v>0</v>
      </c>
      <c r="M168" s="70">
        <f t="shared" si="113"/>
        <v>0</v>
      </c>
      <c r="N168" s="70">
        <f t="shared" si="113"/>
        <v>0</v>
      </c>
      <c r="O168" s="70">
        <f t="shared" si="113"/>
        <v>0</v>
      </c>
      <c r="P168" s="70">
        <f t="shared" si="113"/>
        <v>0</v>
      </c>
      <c r="Q168" s="397"/>
      <c r="R168" s="49"/>
    </row>
    <row r="169" spans="2:18" hidden="1">
      <c r="B169" s="94" t="s">
        <v>533</v>
      </c>
      <c r="C169" s="183"/>
      <c r="D169" s="189"/>
      <c r="E169" s="49" t="s">
        <v>624</v>
      </c>
      <c r="F169" s="28" t="s">
        <v>299</v>
      </c>
      <c r="G169" s="515"/>
      <c r="H169" s="515"/>
      <c r="I169" s="515"/>
      <c r="J169" s="515"/>
      <c r="K169" s="515"/>
      <c r="L169" s="515"/>
      <c r="M169" s="515"/>
      <c r="N169" s="515"/>
      <c r="O169" s="515"/>
      <c r="P169" s="515"/>
      <c r="Q169" s="397"/>
      <c r="R169" s="49"/>
    </row>
    <row r="170" spans="2:18" hidden="1">
      <c r="B170" s="94" t="s">
        <v>533</v>
      </c>
      <c r="C170" s="183"/>
      <c r="D170" s="189"/>
      <c r="E170" s="49" t="s">
        <v>625</v>
      </c>
      <c r="F170" s="28" t="s">
        <v>299</v>
      </c>
      <c r="G170" s="70">
        <f>IF(G169="",G168,G169)</f>
        <v>0</v>
      </c>
      <c r="H170" s="70">
        <f t="shared" ref="H170:P170" si="114">IF(H169="",H168,H169)</f>
        <v>0</v>
      </c>
      <c r="I170" s="70">
        <f t="shared" si="114"/>
        <v>0</v>
      </c>
      <c r="J170" s="70">
        <f t="shared" si="114"/>
        <v>0</v>
      </c>
      <c r="K170" s="70">
        <f t="shared" si="114"/>
        <v>0</v>
      </c>
      <c r="L170" s="70">
        <f t="shared" si="114"/>
        <v>0</v>
      </c>
      <c r="M170" s="70">
        <f t="shared" si="114"/>
        <v>0</v>
      </c>
      <c r="N170" s="70">
        <f t="shared" si="114"/>
        <v>0</v>
      </c>
      <c r="O170" s="70">
        <f t="shared" si="114"/>
        <v>0</v>
      </c>
      <c r="P170" s="70">
        <f t="shared" si="114"/>
        <v>0</v>
      </c>
      <c r="Q170" s="397"/>
      <c r="R170" s="49"/>
    </row>
    <row r="171" spans="2:18" ht="123.75" hidden="1">
      <c r="B171" s="94" t="s">
        <v>533</v>
      </c>
      <c r="C171" s="183"/>
      <c r="D171" s="189"/>
      <c r="E171" s="49" t="s">
        <v>514</v>
      </c>
      <c r="F171" s="28" t="s">
        <v>123</v>
      </c>
      <c r="G171" s="503" t="s">
        <v>515</v>
      </c>
      <c r="H171" s="503" t="s">
        <v>516</v>
      </c>
      <c r="I171" s="503" t="s">
        <v>517</v>
      </c>
      <c r="J171" s="503" t="s">
        <v>518</v>
      </c>
      <c r="K171" s="503" t="s">
        <v>519</v>
      </c>
      <c r="L171" s="503" t="s">
        <v>520</v>
      </c>
      <c r="M171" s="503" t="s">
        <v>521</v>
      </c>
      <c r="N171" s="503" t="s">
        <v>515</v>
      </c>
      <c r="O171" s="503" t="s">
        <v>515</v>
      </c>
      <c r="P171" s="503" t="s">
        <v>515</v>
      </c>
      <c r="Q171" s="397"/>
      <c r="R171" s="49"/>
    </row>
    <row r="172" spans="2:18" hidden="1">
      <c r="B172" s="94" t="s">
        <v>533</v>
      </c>
      <c r="C172" s="183"/>
      <c r="D172" s="189"/>
      <c r="E172" s="49" t="s">
        <v>227</v>
      </c>
      <c r="F172" s="28" t="s">
        <v>329</v>
      </c>
      <c r="G172" s="54">
        <f t="shared" ref="G172:P172" si="115">_xlfn.XLOOKUP(G171,Drains_names_CS,Drains_rates_CS)</f>
        <v>17746.948711216752</v>
      </c>
      <c r="H172" s="54">
        <f t="shared" si="115"/>
        <v>20218.970183654852</v>
      </c>
      <c r="I172" s="54">
        <f t="shared" si="115"/>
        <v>22216.62782359769</v>
      </c>
      <c r="J172" s="54">
        <f t="shared" si="115"/>
        <v>23495.197934061274</v>
      </c>
      <c r="K172" s="54">
        <f t="shared" si="115"/>
        <v>30818.115265667206</v>
      </c>
      <c r="L172" s="54">
        <f t="shared" si="115"/>
        <v>4174</v>
      </c>
      <c r="M172" s="54">
        <f t="shared" si="115"/>
        <v>3930.220784661823</v>
      </c>
      <c r="N172" s="54">
        <f t="shared" si="115"/>
        <v>17746.948711216752</v>
      </c>
      <c r="O172" s="54">
        <f t="shared" si="115"/>
        <v>17746.948711216752</v>
      </c>
      <c r="P172" s="54">
        <f t="shared" si="115"/>
        <v>17746.948711216752</v>
      </c>
      <c r="Q172" s="397"/>
      <c r="R172" s="55"/>
    </row>
    <row r="173" spans="2:18" hidden="1">
      <c r="B173" s="94" t="s">
        <v>533</v>
      </c>
      <c r="C173" s="183"/>
      <c r="D173" s="189"/>
      <c r="E173" s="55" t="s">
        <v>229</v>
      </c>
      <c r="F173" s="28" t="s">
        <v>241</v>
      </c>
      <c r="G173" s="414"/>
      <c r="H173" s="414"/>
      <c r="I173" s="414"/>
      <c r="J173" s="414"/>
      <c r="K173" s="414"/>
      <c r="L173" s="414"/>
      <c r="M173" s="414"/>
      <c r="N173" s="414"/>
      <c r="O173" s="414"/>
      <c r="P173" s="415"/>
      <c r="Q173" s="397"/>
      <c r="R173" s="49"/>
    </row>
    <row r="174" spans="2:18" hidden="1">
      <c r="B174" s="94" t="s">
        <v>533</v>
      </c>
      <c r="C174" s="185"/>
      <c r="D174" s="190"/>
      <c r="E174" s="49" t="s">
        <v>146</v>
      </c>
      <c r="F174" s="28" t="s">
        <v>207</v>
      </c>
      <c r="G174" s="126">
        <f>IF(G173="",G172,G173)*G170</f>
        <v>0</v>
      </c>
      <c r="H174" s="126">
        <f t="shared" ref="H174:P174" si="116">IF(H173="",H172,H173)*H170</f>
        <v>0</v>
      </c>
      <c r="I174" s="126">
        <f t="shared" si="116"/>
        <v>0</v>
      </c>
      <c r="J174" s="126">
        <f t="shared" si="116"/>
        <v>0</v>
      </c>
      <c r="K174" s="126">
        <f t="shared" si="116"/>
        <v>0</v>
      </c>
      <c r="L174" s="126">
        <f t="shared" si="116"/>
        <v>0</v>
      </c>
      <c r="M174" s="126">
        <f t="shared" si="116"/>
        <v>0</v>
      </c>
      <c r="N174" s="126">
        <f t="shared" si="116"/>
        <v>0</v>
      </c>
      <c r="O174" s="126">
        <f t="shared" si="116"/>
        <v>0</v>
      </c>
      <c r="P174" s="126">
        <f t="shared" si="116"/>
        <v>0</v>
      </c>
      <c r="Q174" s="397"/>
      <c r="R174" s="49"/>
    </row>
    <row r="175" spans="2:18" hidden="1">
      <c r="B175" s="94" t="s">
        <v>533</v>
      </c>
      <c r="C175" s="187" t="s">
        <v>522</v>
      </c>
      <c r="D175" s="118" t="s">
        <v>523</v>
      </c>
      <c r="E175" s="49" t="s">
        <v>214</v>
      </c>
      <c r="F175" s="28" t="s">
        <v>299</v>
      </c>
      <c r="G175" s="411"/>
      <c r="H175" s="411"/>
      <c r="I175" s="411"/>
      <c r="J175" s="411"/>
      <c r="K175" s="411"/>
      <c r="L175" s="411"/>
      <c r="M175" s="411"/>
      <c r="N175" s="411"/>
      <c r="O175" s="411"/>
      <c r="P175" s="411"/>
      <c r="Q175" s="397"/>
      <c r="R175" s="49"/>
    </row>
    <row r="176" spans="2:18" hidden="1">
      <c r="B176" s="94" t="s">
        <v>533</v>
      </c>
      <c r="C176" s="183"/>
      <c r="D176" s="189"/>
      <c r="E176" s="49" t="s">
        <v>227</v>
      </c>
      <c r="F176" s="28" t="s">
        <v>299</v>
      </c>
      <c r="G176" s="54">
        <f>'Cost Schedule'!$D$584+'Cost Schedule'!$D$210</f>
        <v>796.84982826418661</v>
      </c>
      <c r="H176" s="54">
        <f>'Cost Schedule'!$D$584+'Cost Schedule'!$D$210</f>
        <v>796.84982826418661</v>
      </c>
      <c r="I176" s="54">
        <f>'Cost Schedule'!$D$584+'Cost Schedule'!$D$210</f>
        <v>796.84982826418661</v>
      </c>
      <c r="J176" s="54">
        <f>'Cost Schedule'!$D$584+'Cost Schedule'!$D$210</f>
        <v>796.84982826418661</v>
      </c>
      <c r="K176" s="54">
        <f>'Cost Schedule'!$D$584+'Cost Schedule'!$D$210</f>
        <v>796.84982826418661</v>
      </c>
      <c r="L176" s="54">
        <f>'Cost Schedule'!$D$584+'Cost Schedule'!$D$210</f>
        <v>796.84982826418661</v>
      </c>
      <c r="M176" s="54">
        <f>'Cost Schedule'!$D$584+'Cost Schedule'!$D$210</f>
        <v>796.84982826418661</v>
      </c>
      <c r="N176" s="54">
        <f>'Cost Schedule'!$D$584+'Cost Schedule'!$D$210</f>
        <v>796.84982826418661</v>
      </c>
      <c r="O176" s="54">
        <f>'Cost Schedule'!$D$584+'Cost Schedule'!$D$210</f>
        <v>796.84982826418661</v>
      </c>
      <c r="P176" s="54">
        <f>'Cost Schedule'!$D$584+'Cost Schedule'!$D$210</f>
        <v>796.84982826418661</v>
      </c>
      <c r="Q176" s="397"/>
      <c r="R176" s="55"/>
    </row>
    <row r="177" spans="2:18" hidden="1">
      <c r="B177" s="94" t="s">
        <v>533</v>
      </c>
      <c r="C177" s="183"/>
      <c r="D177" s="189"/>
      <c r="E177" s="55" t="s">
        <v>229</v>
      </c>
      <c r="F177" s="28" t="s">
        <v>241</v>
      </c>
      <c r="G177" s="414"/>
      <c r="H177" s="414"/>
      <c r="I177" s="414"/>
      <c r="J177" s="414"/>
      <c r="K177" s="414"/>
      <c r="L177" s="414"/>
      <c r="M177" s="414"/>
      <c r="N177" s="414"/>
      <c r="O177" s="414"/>
      <c r="P177" s="414"/>
      <c r="Q177" s="397"/>
      <c r="R177" s="49"/>
    </row>
    <row r="178" spans="2:18" hidden="1">
      <c r="B178" s="94" t="s">
        <v>533</v>
      </c>
      <c r="C178" s="185"/>
      <c r="D178" s="190"/>
      <c r="E178" s="49" t="s">
        <v>146</v>
      </c>
      <c r="F178" s="28" t="s">
        <v>207</v>
      </c>
      <c r="G178" s="71">
        <f t="shared" ref="G178:P178" si="117">IF(G177="",G176,G177)*G175</f>
        <v>0</v>
      </c>
      <c r="H178" s="71">
        <f t="shared" si="117"/>
        <v>0</v>
      </c>
      <c r="I178" s="71">
        <f t="shared" si="117"/>
        <v>0</v>
      </c>
      <c r="J178" s="71">
        <f t="shared" si="117"/>
        <v>0</v>
      </c>
      <c r="K178" s="71">
        <f t="shared" si="117"/>
        <v>0</v>
      </c>
      <c r="L178" s="71">
        <f t="shared" si="117"/>
        <v>0</v>
      </c>
      <c r="M178" s="71">
        <f t="shared" si="117"/>
        <v>0</v>
      </c>
      <c r="N178" s="71">
        <f t="shared" si="117"/>
        <v>0</v>
      </c>
      <c r="O178" s="71">
        <f t="shared" si="117"/>
        <v>0</v>
      </c>
      <c r="P178" s="71">
        <f t="shared" si="117"/>
        <v>0</v>
      </c>
      <c r="Q178" s="397"/>
      <c r="R178" s="49"/>
    </row>
    <row r="179" spans="2:18" hidden="1">
      <c r="B179" s="94" t="s">
        <v>533</v>
      </c>
      <c r="C179" s="200"/>
      <c r="D179" s="188"/>
      <c r="E179" s="67" t="str">
        <f>CONCATENATE(C168," and ",C175)</f>
        <v>Construct drains and Water management</v>
      </c>
      <c r="F179" s="72"/>
      <c r="G179" s="80">
        <f t="shared" ref="G179:P179" si="118">G174+G178</f>
        <v>0</v>
      </c>
      <c r="H179" s="80">
        <f t="shared" si="118"/>
        <v>0</v>
      </c>
      <c r="I179" s="80">
        <f t="shared" si="118"/>
        <v>0</v>
      </c>
      <c r="J179" s="80">
        <f t="shared" si="118"/>
        <v>0</v>
      </c>
      <c r="K179" s="80">
        <f t="shared" si="118"/>
        <v>0</v>
      </c>
      <c r="L179" s="80">
        <f t="shared" si="118"/>
        <v>0</v>
      </c>
      <c r="M179" s="80">
        <f t="shared" si="118"/>
        <v>0</v>
      </c>
      <c r="N179" s="80">
        <f t="shared" si="118"/>
        <v>0</v>
      </c>
      <c r="O179" s="80">
        <f t="shared" si="118"/>
        <v>0</v>
      </c>
      <c r="P179" s="80">
        <f t="shared" si="118"/>
        <v>0</v>
      </c>
      <c r="Q179" s="397"/>
      <c r="R179" s="49"/>
    </row>
    <row r="180" spans="2:18" hidden="1">
      <c r="B180" s="94" t="s">
        <v>533</v>
      </c>
      <c r="C180" s="187" t="s">
        <v>885</v>
      </c>
      <c r="D180" s="118" t="str">
        <f t="shared" ref="D180" si="119">Growth_media</f>
        <v>Growth media</v>
      </c>
      <c r="E180" s="49" t="s">
        <v>623</v>
      </c>
      <c r="F180" s="28" t="s">
        <v>299</v>
      </c>
      <c r="G180" s="70">
        <f>G$25+G170</f>
        <v>0</v>
      </c>
      <c r="H180" s="70">
        <f t="shared" ref="H180:P180" si="120">H$25+H170</f>
        <v>0</v>
      </c>
      <c r="I180" s="70">
        <f t="shared" si="120"/>
        <v>0</v>
      </c>
      <c r="J180" s="70">
        <f t="shared" si="120"/>
        <v>0</v>
      </c>
      <c r="K180" s="70">
        <f t="shared" si="120"/>
        <v>0</v>
      </c>
      <c r="L180" s="70">
        <f t="shared" si="120"/>
        <v>0</v>
      </c>
      <c r="M180" s="70">
        <f t="shared" si="120"/>
        <v>0</v>
      </c>
      <c r="N180" s="70">
        <f t="shared" si="120"/>
        <v>0</v>
      </c>
      <c r="O180" s="70">
        <f t="shared" si="120"/>
        <v>0</v>
      </c>
      <c r="P180" s="70">
        <f t="shared" si="120"/>
        <v>0</v>
      </c>
      <c r="Q180" s="397"/>
      <c r="R180" s="55"/>
    </row>
    <row r="181" spans="2:18" hidden="1">
      <c r="B181" s="94" t="s">
        <v>533</v>
      </c>
      <c r="C181" s="183"/>
      <c r="D181" s="189"/>
      <c r="E181" s="49" t="s">
        <v>624</v>
      </c>
      <c r="F181" s="28" t="s">
        <v>299</v>
      </c>
      <c r="G181" s="515"/>
      <c r="H181" s="515"/>
      <c r="I181" s="515"/>
      <c r="J181" s="515"/>
      <c r="K181" s="515"/>
      <c r="L181" s="515"/>
      <c r="M181" s="515"/>
      <c r="N181" s="515"/>
      <c r="O181" s="515"/>
      <c r="P181" s="515"/>
      <c r="Q181" s="397"/>
      <c r="R181" s="49"/>
    </row>
    <row r="182" spans="2:18" hidden="1">
      <c r="B182" s="94" t="s">
        <v>533</v>
      </c>
      <c r="C182" s="183"/>
      <c r="D182" s="189"/>
      <c r="E182" s="49" t="s">
        <v>625</v>
      </c>
      <c r="F182" s="28" t="s">
        <v>299</v>
      </c>
      <c r="G182" s="70">
        <f t="shared" ref="G182:P182" si="121">IF(G181="",G180,G181)</f>
        <v>0</v>
      </c>
      <c r="H182" s="70">
        <f t="shared" si="121"/>
        <v>0</v>
      </c>
      <c r="I182" s="70">
        <f t="shared" si="121"/>
        <v>0</v>
      </c>
      <c r="J182" s="70">
        <f t="shared" si="121"/>
        <v>0</v>
      </c>
      <c r="K182" s="70">
        <f t="shared" si="121"/>
        <v>0</v>
      </c>
      <c r="L182" s="70">
        <f t="shared" si="121"/>
        <v>0</v>
      </c>
      <c r="M182" s="70">
        <f t="shared" si="121"/>
        <v>0</v>
      </c>
      <c r="N182" s="70">
        <f t="shared" si="121"/>
        <v>0</v>
      </c>
      <c r="O182" s="70">
        <f t="shared" si="121"/>
        <v>0</v>
      </c>
      <c r="P182" s="70">
        <f t="shared" si="121"/>
        <v>0</v>
      </c>
      <c r="Q182" s="397"/>
      <c r="R182" s="55"/>
    </row>
    <row r="183" spans="2:18" hidden="1">
      <c r="B183" s="94" t="s">
        <v>533</v>
      </c>
      <c r="C183" s="183"/>
      <c r="D183" s="189"/>
      <c r="E183" s="47" t="s">
        <v>759</v>
      </c>
      <c r="F183" s="28" t="s">
        <v>211</v>
      </c>
      <c r="G183" s="70">
        <f>_xlfn.XLOOKUP(G$23,'Assumptions - Capping'!$E$4:$J$4,'Assumptions - Capping'!$E$21:$J$21)</f>
        <v>0.15</v>
      </c>
      <c r="H183" s="70">
        <f>_xlfn.XLOOKUP(H$23,'Assumptions - Capping'!$E$4:$J$4,'Assumptions - Capping'!$E$21:$J$21)</f>
        <v>0.15</v>
      </c>
      <c r="I183" s="70">
        <f>_xlfn.XLOOKUP(I$23,'Assumptions - Capping'!$E$4:$J$4,'Assumptions - Capping'!$E$21:$J$21)</f>
        <v>0.15</v>
      </c>
      <c r="J183" s="70">
        <f>_xlfn.XLOOKUP(J$23,'Assumptions - Capping'!$E$4:$J$4,'Assumptions - Capping'!$E$21:$J$21)</f>
        <v>0.15</v>
      </c>
      <c r="K183" s="70">
        <f>_xlfn.XLOOKUP(K$23,'Assumptions - Capping'!$E$4:$J$4,'Assumptions - Capping'!$E$21:$J$21)</f>
        <v>0.15</v>
      </c>
      <c r="L183" s="70">
        <f>_xlfn.XLOOKUP(L$23,'Assumptions - Capping'!$E$4:$J$4,'Assumptions - Capping'!$E$21:$J$21)</f>
        <v>0</v>
      </c>
      <c r="M183" s="70">
        <f>_xlfn.XLOOKUP(M$23,'Assumptions - Capping'!$E$4:$J$4,'Assumptions - Capping'!$E$21:$J$21)</f>
        <v>0.15</v>
      </c>
      <c r="N183" s="70">
        <f>_xlfn.XLOOKUP(N$23,'Assumptions - Capping'!$E$4:$J$4,'Assumptions - Capping'!$E$21:$J$21)</f>
        <v>0.15</v>
      </c>
      <c r="O183" s="70">
        <f>_xlfn.XLOOKUP(O$23,'Assumptions - Capping'!$E$4:$J$4,'Assumptions - Capping'!$E$21:$J$21)</f>
        <v>0.15</v>
      </c>
      <c r="P183" s="70">
        <f>_xlfn.XLOOKUP(P$23,'Assumptions - Capping'!$E$4:$J$4,'Assumptions - Capping'!$E$21:$J$21)</f>
        <v>0.15</v>
      </c>
      <c r="Q183" s="397"/>
      <c r="R183" s="49"/>
    </row>
    <row r="184" spans="2:18" hidden="1">
      <c r="B184" s="94" t="s">
        <v>533</v>
      </c>
      <c r="C184" s="183"/>
      <c r="D184" s="189"/>
      <c r="E184" s="47" t="s">
        <v>760</v>
      </c>
      <c r="F184" s="28" t="s">
        <v>211</v>
      </c>
      <c r="G184" s="411"/>
      <c r="H184" s="411"/>
      <c r="I184" s="411"/>
      <c r="J184" s="411"/>
      <c r="K184" s="411"/>
      <c r="L184" s="411"/>
      <c r="M184" s="411"/>
      <c r="N184" s="411"/>
      <c r="O184" s="411"/>
      <c r="P184" s="411"/>
      <c r="Q184" s="397"/>
      <c r="R184" s="49"/>
    </row>
    <row r="185" spans="2:18" hidden="1">
      <c r="B185" s="94" t="s">
        <v>533</v>
      </c>
      <c r="C185" s="183"/>
      <c r="D185" s="189"/>
      <c r="E185" s="47" t="s">
        <v>761</v>
      </c>
      <c r="F185" s="28" t="s">
        <v>211</v>
      </c>
      <c r="G185" s="70">
        <f>IF(G184="",G183,G184)</f>
        <v>0.15</v>
      </c>
      <c r="H185" s="70">
        <f t="shared" ref="H185" si="122">IF(H184="",H183,H184)</f>
        <v>0.15</v>
      </c>
      <c r="I185" s="70">
        <f t="shared" ref="I185" si="123">IF(I184="",I183,I184)</f>
        <v>0.15</v>
      </c>
      <c r="J185" s="70">
        <f t="shared" ref="J185" si="124">IF(J184="",J183,J184)</f>
        <v>0.15</v>
      </c>
      <c r="K185" s="70">
        <f t="shared" ref="K185" si="125">IF(K184="",K183,K184)</f>
        <v>0.15</v>
      </c>
      <c r="L185" s="70">
        <f t="shared" ref="L185" si="126">IF(L184="",L183,L184)</f>
        <v>0</v>
      </c>
      <c r="M185" s="70">
        <f t="shared" ref="M185" si="127">IF(M184="",M183,M184)</f>
        <v>0.15</v>
      </c>
      <c r="N185" s="70">
        <f t="shared" ref="N185" si="128">IF(N184="",N183,N184)</f>
        <v>0.15</v>
      </c>
      <c r="O185" s="70">
        <f t="shared" ref="O185" si="129">IF(O184="",O183,O184)</f>
        <v>0.15</v>
      </c>
      <c r="P185" s="70">
        <f t="shared" ref="P185" si="130">IF(P184="",P183,P184)</f>
        <v>0.15</v>
      </c>
      <c r="Q185" s="397"/>
      <c r="R185" s="49"/>
    </row>
    <row r="186" spans="2:18" hidden="1">
      <c r="B186" s="94" t="s">
        <v>533</v>
      </c>
      <c r="C186" s="183"/>
      <c r="D186" s="189"/>
      <c r="E186" s="49" t="s">
        <v>307</v>
      </c>
      <c r="F186" s="28" t="s">
        <v>219</v>
      </c>
      <c r="G186" s="58">
        <f t="shared" ref="G186:P186" si="131">G182*Conv_sqm_ha*G185</f>
        <v>0</v>
      </c>
      <c r="H186" s="58">
        <f t="shared" si="131"/>
        <v>0</v>
      </c>
      <c r="I186" s="58">
        <f t="shared" si="131"/>
        <v>0</v>
      </c>
      <c r="J186" s="58">
        <f t="shared" si="131"/>
        <v>0</v>
      </c>
      <c r="K186" s="58">
        <f t="shared" si="131"/>
        <v>0</v>
      </c>
      <c r="L186" s="58">
        <f t="shared" si="131"/>
        <v>0</v>
      </c>
      <c r="M186" s="58">
        <f t="shared" si="131"/>
        <v>0</v>
      </c>
      <c r="N186" s="58">
        <f t="shared" si="131"/>
        <v>0</v>
      </c>
      <c r="O186" s="58">
        <f t="shared" si="131"/>
        <v>0</v>
      </c>
      <c r="P186" s="58">
        <f t="shared" si="131"/>
        <v>0</v>
      </c>
      <c r="Q186" s="397"/>
      <c r="R186" s="55"/>
    </row>
    <row r="187" spans="2:18" hidden="1">
      <c r="B187" s="94" t="s">
        <v>533</v>
      </c>
      <c r="C187" s="183"/>
      <c r="D187" s="189"/>
      <c r="E187" s="49" t="s">
        <v>539</v>
      </c>
      <c r="F187" s="28" t="s">
        <v>219</v>
      </c>
      <c r="G187" s="463">
        <f>G186*80%</f>
        <v>0</v>
      </c>
      <c r="H187" s="463">
        <f t="shared" ref="H187:J187" si="132">H186*80%</f>
        <v>0</v>
      </c>
      <c r="I187" s="463">
        <f t="shared" si="132"/>
        <v>0</v>
      </c>
      <c r="J187" s="463">
        <f t="shared" si="132"/>
        <v>0</v>
      </c>
      <c r="K187" s="463">
        <f>K186</f>
        <v>0</v>
      </c>
      <c r="L187" s="463">
        <f t="shared" ref="L187" si="133">L186*80%</f>
        <v>0</v>
      </c>
      <c r="M187" s="463">
        <f t="shared" ref="M187" si="134">M186*80%</f>
        <v>0</v>
      </c>
      <c r="N187" s="463"/>
      <c r="O187" s="463"/>
      <c r="P187" s="463"/>
      <c r="Q187" s="397"/>
      <c r="R187" s="55"/>
    </row>
    <row r="188" spans="2:18" hidden="1">
      <c r="B188" s="94" t="s">
        <v>533</v>
      </c>
      <c r="C188" s="183"/>
      <c r="D188" s="189"/>
      <c r="E188" s="49" t="s">
        <v>540</v>
      </c>
      <c r="F188" s="28" t="s">
        <v>219</v>
      </c>
      <c r="G188" s="58">
        <f>G186-G187</f>
        <v>0</v>
      </c>
      <c r="H188" s="58">
        <f t="shared" ref="H188:P188" si="135">H186-H187</f>
        <v>0</v>
      </c>
      <c r="I188" s="58">
        <f t="shared" si="135"/>
        <v>0</v>
      </c>
      <c r="J188" s="58">
        <f t="shared" si="135"/>
        <v>0</v>
      </c>
      <c r="K188" s="58">
        <f t="shared" si="135"/>
        <v>0</v>
      </c>
      <c r="L188" s="58">
        <f t="shared" si="135"/>
        <v>0</v>
      </c>
      <c r="M188" s="58">
        <f t="shared" si="135"/>
        <v>0</v>
      </c>
      <c r="N188" s="58">
        <f t="shared" si="135"/>
        <v>0</v>
      </c>
      <c r="O188" s="58">
        <f t="shared" si="135"/>
        <v>0</v>
      </c>
      <c r="P188" s="58">
        <f t="shared" si="135"/>
        <v>0</v>
      </c>
      <c r="Q188" s="397"/>
      <c r="R188" s="55"/>
    </row>
    <row r="189" spans="2:18" hidden="1">
      <c r="B189" s="94" t="s">
        <v>533</v>
      </c>
      <c r="C189" s="181" t="s">
        <v>541</v>
      </c>
      <c r="D189" s="118" t="s">
        <v>542</v>
      </c>
      <c r="E189" s="49" t="s">
        <v>543</v>
      </c>
      <c r="F189" s="28" t="s">
        <v>123</v>
      </c>
      <c r="G189" s="412" t="s">
        <v>233</v>
      </c>
      <c r="H189" s="412" t="s">
        <v>233</v>
      </c>
      <c r="I189" s="412" t="s">
        <v>233</v>
      </c>
      <c r="J189" s="412" t="s">
        <v>233</v>
      </c>
      <c r="K189" s="412" t="s">
        <v>233</v>
      </c>
      <c r="L189" s="412" t="s">
        <v>233</v>
      </c>
      <c r="M189" s="412" t="s">
        <v>233</v>
      </c>
      <c r="N189" s="412" t="s">
        <v>233</v>
      </c>
      <c r="O189" s="412" t="s">
        <v>233</v>
      </c>
      <c r="P189" s="412" t="s">
        <v>233</v>
      </c>
      <c r="Q189" s="397"/>
      <c r="R189" s="55"/>
    </row>
    <row r="190" spans="2:18" hidden="1">
      <c r="B190" s="94" t="s">
        <v>533</v>
      </c>
      <c r="C190" s="183"/>
      <c r="D190" s="189"/>
      <c r="E190" s="49" t="s">
        <v>546</v>
      </c>
      <c r="F190" s="28" t="s">
        <v>253</v>
      </c>
      <c r="G190" s="54">
        <f t="shared" ref="G190:P190" si="136">_xlfn.XLOOKUP(G189,Long_haul_soil_amend_names_volume_CS,Long_haul_soil_amend_rates_volume_CS)</f>
        <v>0.18641557835380454</v>
      </c>
      <c r="H190" s="54">
        <f t="shared" si="136"/>
        <v>0.18641557835380454</v>
      </c>
      <c r="I190" s="54">
        <f t="shared" si="136"/>
        <v>0.18641557835380454</v>
      </c>
      <c r="J190" s="54">
        <f t="shared" si="136"/>
        <v>0.18641557835380454</v>
      </c>
      <c r="K190" s="54">
        <f t="shared" si="136"/>
        <v>0.18641557835380454</v>
      </c>
      <c r="L190" s="54">
        <f t="shared" si="136"/>
        <v>0.18641557835380454</v>
      </c>
      <c r="M190" s="54">
        <f t="shared" si="136"/>
        <v>0.18641557835380454</v>
      </c>
      <c r="N190" s="54">
        <f t="shared" si="136"/>
        <v>0.18641557835380454</v>
      </c>
      <c r="O190" s="54">
        <f t="shared" si="136"/>
        <v>0.18641557835380454</v>
      </c>
      <c r="P190" s="54">
        <f t="shared" si="136"/>
        <v>0.18641557835380454</v>
      </c>
      <c r="Q190" s="397"/>
      <c r="R190" s="55"/>
    </row>
    <row r="191" spans="2:18" hidden="1">
      <c r="B191" s="94" t="s">
        <v>533</v>
      </c>
      <c r="C191" s="183"/>
      <c r="D191" s="189"/>
      <c r="E191" s="27" t="s">
        <v>547</v>
      </c>
      <c r="F191" s="28" t="s">
        <v>253</v>
      </c>
      <c r="G191" s="414"/>
      <c r="H191" s="414"/>
      <c r="I191" s="414"/>
      <c r="J191" s="414"/>
      <c r="K191" s="414"/>
      <c r="L191" s="414"/>
      <c r="M191" s="414"/>
      <c r="N191" s="414"/>
      <c r="O191" s="414"/>
      <c r="P191" s="414"/>
      <c r="Q191" s="397"/>
      <c r="R191" s="55"/>
    </row>
    <row r="192" spans="2:18" hidden="1">
      <c r="B192" s="94" t="s">
        <v>533</v>
      </c>
      <c r="C192" s="183"/>
      <c r="D192" s="189"/>
      <c r="E192" s="49" t="s">
        <v>886</v>
      </c>
      <c r="F192" s="28" t="s">
        <v>207</v>
      </c>
      <c r="G192" s="71">
        <f t="shared" ref="G192:P192" si="137">IF(G191="",G190,G191)*G188*_xlfn.XLOOKUP(G189,Long_haul_distance_names_L,Long_haul_distances_average_L)</f>
        <v>0</v>
      </c>
      <c r="H192" s="71">
        <f t="shared" si="137"/>
        <v>0</v>
      </c>
      <c r="I192" s="71">
        <f t="shared" si="137"/>
        <v>0</v>
      </c>
      <c r="J192" s="71">
        <f t="shared" si="137"/>
        <v>0</v>
      </c>
      <c r="K192" s="71">
        <f t="shared" si="137"/>
        <v>0</v>
      </c>
      <c r="L192" s="71">
        <f t="shared" si="137"/>
        <v>0</v>
      </c>
      <c r="M192" s="71">
        <f t="shared" si="137"/>
        <v>0</v>
      </c>
      <c r="N192" s="71">
        <f t="shared" si="137"/>
        <v>0</v>
      </c>
      <c r="O192" s="71">
        <f t="shared" si="137"/>
        <v>0</v>
      </c>
      <c r="P192" s="71">
        <f t="shared" si="137"/>
        <v>0</v>
      </c>
      <c r="Q192" s="397"/>
      <c r="R192" s="55"/>
    </row>
    <row r="193" spans="2:18" hidden="1">
      <c r="B193" s="94" t="s">
        <v>533</v>
      </c>
      <c r="C193" s="183"/>
      <c r="D193" s="189"/>
      <c r="E193" s="49" t="s">
        <v>311</v>
      </c>
      <c r="F193" s="28" t="s">
        <v>123</v>
      </c>
      <c r="G193" s="412" t="s">
        <v>549</v>
      </c>
      <c r="H193" s="412" t="s">
        <v>549</v>
      </c>
      <c r="I193" s="412" t="s">
        <v>549</v>
      </c>
      <c r="J193" s="412" t="s">
        <v>549</v>
      </c>
      <c r="K193" s="412" t="s">
        <v>549</v>
      </c>
      <c r="L193" s="412" t="s">
        <v>549</v>
      </c>
      <c r="M193" s="412" t="s">
        <v>549</v>
      </c>
      <c r="N193" s="412" t="s">
        <v>549</v>
      </c>
      <c r="O193" s="412" t="s">
        <v>549</v>
      </c>
      <c r="P193" s="412" t="s">
        <v>549</v>
      </c>
      <c r="Q193" s="397"/>
      <c r="R193" s="55"/>
    </row>
    <row r="194" spans="2:18" hidden="1">
      <c r="B194" s="94" t="s">
        <v>533</v>
      </c>
      <c r="C194" s="183"/>
      <c r="D194" s="189"/>
      <c r="E194" s="49" t="s">
        <v>551</v>
      </c>
      <c r="F194" s="28" t="s">
        <v>241</v>
      </c>
      <c r="G194" s="54">
        <f t="shared" ref="G194:P194" si="138">IF(G193=Growth_media,Growth_media_purchase_rate*Growth_media_soil_density,VENM_backfill_buy_R)</f>
        <v>128.79999999999998</v>
      </c>
      <c r="H194" s="54">
        <f t="shared" si="138"/>
        <v>128.79999999999998</v>
      </c>
      <c r="I194" s="54">
        <f t="shared" si="138"/>
        <v>128.79999999999998</v>
      </c>
      <c r="J194" s="54">
        <f t="shared" si="138"/>
        <v>128.79999999999998</v>
      </c>
      <c r="K194" s="54">
        <f t="shared" si="138"/>
        <v>128.79999999999998</v>
      </c>
      <c r="L194" s="54">
        <f t="shared" si="138"/>
        <v>128.79999999999998</v>
      </c>
      <c r="M194" s="54">
        <f t="shared" si="138"/>
        <v>128.79999999999998</v>
      </c>
      <c r="N194" s="54">
        <f t="shared" si="138"/>
        <v>128.79999999999998</v>
      </c>
      <c r="O194" s="54">
        <f t="shared" si="138"/>
        <v>128.79999999999998</v>
      </c>
      <c r="P194" s="54">
        <f t="shared" si="138"/>
        <v>128.79999999999998</v>
      </c>
      <c r="Q194" s="397"/>
      <c r="R194" s="55"/>
    </row>
    <row r="195" spans="2:18" hidden="1">
      <c r="B195" s="94" t="s">
        <v>533</v>
      </c>
      <c r="C195" s="183"/>
      <c r="D195" s="189"/>
      <c r="E195" s="27" t="s">
        <v>552</v>
      </c>
      <c r="F195" s="28" t="s">
        <v>241</v>
      </c>
      <c r="G195" s="414"/>
      <c r="H195" s="414"/>
      <c r="I195" s="414"/>
      <c r="J195" s="414"/>
      <c r="K195" s="414"/>
      <c r="L195" s="414"/>
      <c r="M195" s="414"/>
      <c r="N195" s="414"/>
      <c r="O195" s="414"/>
      <c r="P195" s="414"/>
      <c r="Q195" s="397"/>
      <c r="R195" s="49"/>
    </row>
    <row r="196" spans="2:18" hidden="1">
      <c r="B196" s="94" t="s">
        <v>533</v>
      </c>
      <c r="C196" s="183"/>
      <c r="D196" s="189"/>
      <c r="E196" s="49" t="s">
        <v>548</v>
      </c>
      <c r="F196" s="28" t="s">
        <v>207</v>
      </c>
      <c r="G196" s="71">
        <f t="shared" ref="G196:P196" si="139">IF(G195="",G194,G195)*G188</f>
        <v>0</v>
      </c>
      <c r="H196" s="71">
        <f t="shared" si="139"/>
        <v>0</v>
      </c>
      <c r="I196" s="71">
        <f t="shared" si="139"/>
        <v>0</v>
      </c>
      <c r="J196" s="71">
        <f t="shared" si="139"/>
        <v>0</v>
      </c>
      <c r="K196" s="71">
        <f t="shared" si="139"/>
        <v>0</v>
      </c>
      <c r="L196" s="71">
        <f t="shared" si="139"/>
        <v>0</v>
      </c>
      <c r="M196" s="71">
        <f t="shared" si="139"/>
        <v>0</v>
      </c>
      <c r="N196" s="71">
        <f t="shared" si="139"/>
        <v>0</v>
      </c>
      <c r="O196" s="71">
        <f t="shared" si="139"/>
        <v>0</v>
      </c>
      <c r="P196" s="71">
        <f t="shared" si="139"/>
        <v>0</v>
      </c>
      <c r="Q196" s="397"/>
      <c r="R196" s="55"/>
    </row>
    <row r="197" spans="2:18" ht="33.75" hidden="1">
      <c r="B197" s="94" t="s">
        <v>533</v>
      </c>
      <c r="C197" s="181" t="s">
        <v>541</v>
      </c>
      <c r="D197" s="118" t="s">
        <v>553</v>
      </c>
      <c r="E197" s="82" t="s">
        <v>554</v>
      </c>
      <c r="F197" s="28" t="s">
        <v>123</v>
      </c>
      <c r="G197" s="461" t="s">
        <v>555</v>
      </c>
      <c r="H197" s="461" t="s">
        <v>555</v>
      </c>
      <c r="I197" s="461" t="s">
        <v>555</v>
      </c>
      <c r="J197" s="461" t="s">
        <v>555</v>
      </c>
      <c r="K197" s="461" t="s">
        <v>555</v>
      </c>
      <c r="L197" s="461" t="s">
        <v>555</v>
      </c>
      <c r="M197" s="461" t="s">
        <v>555</v>
      </c>
      <c r="N197" s="461" t="s">
        <v>555</v>
      </c>
      <c r="O197" s="461" t="s">
        <v>555</v>
      </c>
      <c r="P197" s="461" t="s">
        <v>555</v>
      </c>
      <c r="Q197" s="397"/>
      <c r="R197" s="49"/>
    </row>
    <row r="198" spans="2:18" hidden="1">
      <c r="B198" s="94" t="s">
        <v>533</v>
      </c>
      <c r="C198" s="183"/>
      <c r="D198" s="189"/>
      <c r="E198" s="49" t="s">
        <v>227</v>
      </c>
      <c r="F198" s="28" t="s">
        <v>241</v>
      </c>
      <c r="G198" s="54">
        <f t="shared" ref="G198:P198" si="140">_xlfn.XLOOKUP(G197,Load_haul_soil_names_CS,Load_haul_soil_rates_CS)</f>
        <v>5.5737090155748836</v>
      </c>
      <c r="H198" s="54">
        <f t="shared" si="140"/>
        <v>5.5737090155748836</v>
      </c>
      <c r="I198" s="54">
        <f t="shared" si="140"/>
        <v>5.5737090155748836</v>
      </c>
      <c r="J198" s="54">
        <f t="shared" si="140"/>
        <v>5.5737090155748836</v>
      </c>
      <c r="K198" s="54">
        <f t="shared" si="140"/>
        <v>5.5737090155748836</v>
      </c>
      <c r="L198" s="54">
        <f t="shared" si="140"/>
        <v>5.5737090155748836</v>
      </c>
      <c r="M198" s="54">
        <f t="shared" si="140"/>
        <v>5.5737090155748836</v>
      </c>
      <c r="N198" s="54">
        <f t="shared" si="140"/>
        <v>5.5737090155748836</v>
      </c>
      <c r="O198" s="54">
        <f t="shared" si="140"/>
        <v>5.5737090155748836</v>
      </c>
      <c r="P198" s="54">
        <f t="shared" si="140"/>
        <v>5.5737090155748836</v>
      </c>
      <c r="Q198" s="397"/>
      <c r="R198" s="55"/>
    </row>
    <row r="199" spans="2:18" hidden="1">
      <c r="B199" s="94" t="s">
        <v>533</v>
      </c>
      <c r="C199" s="183"/>
      <c r="D199" s="189"/>
      <c r="E199" s="55" t="s">
        <v>229</v>
      </c>
      <c r="F199" s="28" t="s">
        <v>241</v>
      </c>
      <c r="G199" s="414"/>
      <c r="H199" s="414"/>
      <c r="I199" s="414"/>
      <c r="J199" s="414"/>
      <c r="K199" s="414"/>
      <c r="L199" s="414"/>
      <c r="M199" s="414"/>
      <c r="N199" s="414"/>
      <c r="O199" s="414"/>
      <c r="P199" s="414"/>
      <c r="Q199" s="397"/>
      <c r="R199" s="49"/>
    </row>
    <row r="200" spans="2:18" hidden="1">
      <c r="B200" s="94" t="s">
        <v>533</v>
      </c>
      <c r="C200" s="183"/>
      <c r="D200" s="189"/>
      <c r="E200" s="49" t="s">
        <v>146</v>
      </c>
      <c r="F200" s="28" t="s">
        <v>207</v>
      </c>
      <c r="G200" s="127">
        <f t="shared" ref="G200:P200" si="141">IF(G199="",G198,G199)*G186</f>
        <v>0</v>
      </c>
      <c r="H200" s="127">
        <f t="shared" si="141"/>
        <v>0</v>
      </c>
      <c r="I200" s="127">
        <f t="shared" si="141"/>
        <v>0</v>
      </c>
      <c r="J200" s="127">
        <f t="shared" si="141"/>
        <v>0</v>
      </c>
      <c r="K200" s="127">
        <f t="shared" si="141"/>
        <v>0</v>
      </c>
      <c r="L200" s="127">
        <f t="shared" si="141"/>
        <v>0</v>
      </c>
      <c r="M200" s="127">
        <f t="shared" si="141"/>
        <v>0</v>
      </c>
      <c r="N200" s="127">
        <f t="shared" si="141"/>
        <v>0</v>
      </c>
      <c r="O200" s="127">
        <f t="shared" si="141"/>
        <v>0</v>
      </c>
      <c r="P200" s="127">
        <f t="shared" si="141"/>
        <v>0</v>
      </c>
      <c r="Q200" s="397"/>
      <c r="R200" s="49"/>
    </row>
    <row r="201" spans="2:18" hidden="1">
      <c r="B201" s="94" t="s">
        <v>533</v>
      </c>
      <c r="C201" s="200"/>
      <c r="D201" s="188"/>
      <c r="E201" s="67" t="str">
        <f>C180</f>
        <v>Source and apply growth media / fill</v>
      </c>
      <c r="F201" s="72"/>
      <c r="G201" s="80">
        <f>G192+G196+G200</f>
        <v>0</v>
      </c>
      <c r="H201" s="80">
        <f t="shared" ref="H201:P201" si="142">H192+H196+H200</f>
        <v>0</v>
      </c>
      <c r="I201" s="80">
        <f t="shared" si="142"/>
        <v>0</v>
      </c>
      <c r="J201" s="80">
        <f t="shared" si="142"/>
        <v>0</v>
      </c>
      <c r="K201" s="80">
        <f t="shared" si="142"/>
        <v>0</v>
      </c>
      <c r="L201" s="80">
        <f t="shared" si="142"/>
        <v>0</v>
      </c>
      <c r="M201" s="80">
        <f t="shared" si="142"/>
        <v>0</v>
      </c>
      <c r="N201" s="80">
        <f t="shared" si="142"/>
        <v>0</v>
      </c>
      <c r="O201" s="80">
        <f t="shared" si="142"/>
        <v>0</v>
      </c>
      <c r="P201" s="80">
        <f t="shared" si="142"/>
        <v>0</v>
      </c>
      <c r="Q201" s="397"/>
      <c r="R201" s="49"/>
    </row>
    <row r="202" spans="2:18" hidden="1">
      <c r="B202" s="94" t="s">
        <v>533</v>
      </c>
      <c r="C202" s="187" t="s">
        <v>310</v>
      </c>
      <c r="D202" s="118" t="str">
        <f t="shared" ref="D202" si="143">Ameliorants</f>
        <v>Ameliorants</v>
      </c>
      <c r="E202" s="49" t="s">
        <v>623</v>
      </c>
      <c r="F202" s="28" t="s">
        <v>299</v>
      </c>
      <c r="G202" s="78">
        <f>G$25</f>
        <v>0</v>
      </c>
      <c r="H202" s="78">
        <f t="shared" ref="H202:P202" si="144">H$25</f>
        <v>0</v>
      </c>
      <c r="I202" s="78">
        <f t="shared" si="144"/>
        <v>0</v>
      </c>
      <c r="J202" s="78">
        <f t="shared" si="144"/>
        <v>0</v>
      </c>
      <c r="K202" s="78">
        <f t="shared" si="144"/>
        <v>0</v>
      </c>
      <c r="L202" s="78">
        <f t="shared" si="144"/>
        <v>0</v>
      </c>
      <c r="M202" s="78">
        <f t="shared" si="144"/>
        <v>0</v>
      </c>
      <c r="N202" s="78">
        <f t="shared" si="144"/>
        <v>0</v>
      </c>
      <c r="O202" s="78">
        <f t="shared" si="144"/>
        <v>0</v>
      </c>
      <c r="P202" s="78">
        <f t="shared" si="144"/>
        <v>0</v>
      </c>
      <c r="Q202" s="397"/>
      <c r="R202" s="55"/>
    </row>
    <row r="203" spans="2:18" hidden="1">
      <c r="B203" s="94" t="s">
        <v>533</v>
      </c>
      <c r="C203" s="183"/>
      <c r="D203" s="189"/>
      <c r="E203" s="49" t="s">
        <v>624</v>
      </c>
      <c r="F203" s="28" t="s">
        <v>299</v>
      </c>
      <c r="G203" s="515">
        <v>0</v>
      </c>
      <c r="H203" s="515">
        <v>0</v>
      </c>
      <c r="I203" s="515">
        <v>0</v>
      </c>
      <c r="J203" s="515">
        <v>0</v>
      </c>
      <c r="K203" s="515">
        <v>0</v>
      </c>
      <c r="L203" s="515">
        <v>0</v>
      </c>
      <c r="M203" s="515">
        <v>0</v>
      </c>
      <c r="N203" s="515">
        <v>0</v>
      </c>
      <c r="O203" s="515">
        <v>0</v>
      </c>
      <c r="P203" s="515">
        <v>0</v>
      </c>
      <c r="Q203" s="397"/>
      <c r="R203" s="49"/>
    </row>
    <row r="204" spans="2:18" hidden="1">
      <c r="B204" s="94" t="s">
        <v>533</v>
      </c>
      <c r="C204" s="183"/>
      <c r="D204" s="189"/>
      <c r="E204" s="49" t="s">
        <v>625</v>
      </c>
      <c r="F204" s="28" t="s">
        <v>299</v>
      </c>
      <c r="G204" s="78">
        <f t="shared" ref="G204:P204" si="145">IF(G203="",G202,G203)</f>
        <v>0</v>
      </c>
      <c r="H204" s="78">
        <f t="shared" si="145"/>
        <v>0</v>
      </c>
      <c r="I204" s="78">
        <f t="shared" si="145"/>
        <v>0</v>
      </c>
      <c r="J204" s="78">
        <f t="shared" si="145"/>
        <v>0</v>
      </c>
      <c r="K204" s="78">
        <f t="shared" si="145"/>
        <v>0</v>
      </c>
      <c r="L204" s="78">
        <f t="shared" si="145"/>
        <v>0</v>
      </c>
      <c r="M204" s="78">
        <f t="shared" si="145"/>
        <v>0</v>
      </c>
      <c r="N204" s="78">
        <f t="shared" si="145"/>
        <v>0</v>
      </c>
      <c r="O204" s="78">
        <f t="shared" si="145"/>
        <v>0</v>
      </c>
      <c r="P204" s="78">
        <f t="shared" si="145"/>
        <v>0</v>
      </c>
      <c r="Q204" s="397"/>
      <c r="R204" s="55"/>
    </row>
    <row r="205" spans="2:18" hidden="1">
      <c r="B205" s="94" t="s">
        <v>533</v>
      </c>
      <c r="C205" s="183"/>
      <c r="D205" s="189"/>
      <c r="E205" s="49" t="s">
        <v>311</v>
      </c>
      <c r="F205" s="28" t="s">
        <v>123</v>
      </c>
      <c r="G205" s="503" t="s">
        <v>312</v>
      </c>
      <c r="H205" s="503" t="s">
        <v>312</v>
      </c>
      <c r="I205" s="503" t="s">
        <v>312</v>
      </c>
      <c r="J205" s="503" t="s">
        <v>312</v>
      </c>
      <c r="K205" s="503" t="s">
        <v>312</v>
      </c>
      <c r="L205" s="503" t="s">
        <v>312</v>
      </c>
      <c r="M205" s="503" t="s">
        <v>312</v>
      </c>
      <c r="N205" s="503" t="s">
        <v>312</v>
      </c>
      <c r="O205" s="503" t="s">
        <v>312</v>
      </c>
      <c r="P205" s="503" t="s">
        <v>312</v>
      </c>
      <c r="Q205" s="397"/>
      <c r="R205" s="49"/>
    </row>
    <row r="206" spans="2:18" hidden="1">
      <c r="B206" s="94" t="s">
        <v>533</v>
      </c>
      <c r="C206" s="183"/>
      <c r="D206" s="189"/>
      <c r="E206" s="49" t="s">
        <v>320</v>
      </c>
      <c r="F206" s="28" t="s">
        <v>321</v>
      </c>
      <c r="G206" s="78">
        <f>_xlfn.XLOOKUP(G205,'Assumptions - General'!$B$5:$B$14,'Assumptions - General'!$C$5:$C$14)</f>
        <v>2.5</v>
      </c>
      <c r="H206" s="78">
        <f>_xlfn.XLOOKUP(H205,'Assumptions - General'!$B$5:$B$14,'Assumptions - General'!$C$5:$C$14)</f>
        <v>2.5</v>
      </c>
      <c r="I206" s="78">
        <f>_xlfn.XLOOKUP(I205,'Assumptions - General'!$B$5:$B$14,'Assumptions - General'!$C$5:$C$14)</f>
        <v>2.5</v>
      </c>
      <c r="J206" s="78">
        <f>_xlfn.XLOOKUP(J205,'Assumptions - General'!$B$5:$B$14,'Assumptions - General'!$C$5:$C$14)</f>
        <v>2.5</v>
      </c>
      <c r="K206" s="78">
        <f>_xlfn.XLOOKUP(K205,'Assumptions - General'!$B$5:$B$14,'Assumptions - General'!$C$5:$C$14)</f>
        <v>2.5</v>
      </c>
      <c r="L206" s="78">
        <f>_xlfn.XLOOKUP(L205,'Assumptions - General'!$B$5:$B$14,'Assumptions - General'!$C$5:$C$14)</f>
        <v>2.5</v>
      </c>
      <c r="M206" s="78">
        <f>_xlfn.XLOOKUP(M205,'Assumptions - General'!$B$5:$B$14,'Assumptions - General'!$C$5:$C$14)</f>
        <v>2.5</v>
      </c>
      <c r="N206" s="78">
        <f>_xlfn.XLOOKUP(N205,'Assumptions - General'!$B$5:$B$14,'Assumptions - General'!$C$5:$C$14)</f>
        <v>2.5</v>
      </c>
      <c r="O206" s="78">
        <f>_xlfn.XLOOKUP(O205,'Assumptions - General'!$B$5:$B$14,'Assumptions - General'!$C$5:$C$14)</f>
        <v>2.5</v>
      </c>
      <c r="P206" s="78">
        <f>_xlfn.XLOOKUP(P205,'Assumptions - General'!$B$5:$B$14,'Assumptions - General'!$C$5:$C$14)</f>
        <v>2.5</v>
      </c>
      <c r="Q206" s="397"/>
      <c r="R206" s="55"/>
    </row>
    <row r="207" spans="2:18" hidden="1">
      <c r="B207" s="94" t="s">
        <v>533</v>
      </c>
      <c r="C207" s="185"/>
      <c r="D207" s="189"/>
      <c r="E207" s="49" t="s">
        <v>322</v>
      </c>
      <c r="F207" s="28" t="s">
        <v>221</v>
      </c>
      <c r="G207" s="78">
        <f t="shared" ref="G207:P207" si="146">G204*G206</f>
        <v>0</v>
      </c>
      <c r="H207" s="78">
        <f t="shared" si="146"/>
        <v>0</v>
      </c>
      <c r="I207" s="78">
        <f t="shared" si="146"/>
        <v>0</v>
      </c>
      <c r="J207" s="78">
        <f t="shared" si="146"/>
        <v>0</v>
      </c>
      <c r="K207" s="78">
        <f t="shared" si="146"/>
        <v>0</v>
      </c>
      <c r="L207" s="78">
        <f t="shared" si="146"/>
        <v>0</v>
      </c>
      <c r="M207" s="78">
        <f t="shared" si="146"/>
        <v>0</v>
      </c>
      <c r="N207" s="78">
        <f t="shared" si="146"/>
        <v>0</v>
      </c>
      <c r="O207" s="78">
        <f t="shared" si="146"/>
        <v>0</v>
      </c>
      <c r="P207" s="78">
        <f t="shared" si="146"/>
        <v>0</v>
      </c>
      <c r="Q207" s="397"/>
      <c r="R207" s="55"/>
    </row>
    <row r="208" spans="2:18" hidden="1">
      <c r="B208" s="94" t="s">
        <v>533</v>
      </c>
      <c r="C208" s="181" t="s">
        <v>556</v>
      </c>
      <c r="D208" s="189"/>
      <c r="E208" s="49" t="s">
        <v>227</v>
      </c>
      <c r="F208" s="28" t="s">
        <v>228</v>
      </c>
      <c r="G208" s="54">
        <f t="shared" ref="G208:P208" si="147">_xlfn.XLOOKUP(G205,Rates_soil_seed_adds_names_R,Rates_soil_seed_adds_rates_R)</f>
        <v>47</v>
      </c>
      <c r="H208" s="54">
        <f t="shared" si="147"/>
        <v>47</v>
      </c>
      <c r="I208" s="54">
        <f t="shared" si="147"/>
        <v>47</v>
      </c>
      <c r="J208" s="54">
        <f t="shared" si="147"/>
        <v>47</v>
      </c>
      <c r="K208" s="54">
        <f t="shared" si="147"/>
        <v>47</v>
      </c>
      <c r="L208" s="54">
        <f t="shared" si="147"/>
        <v>47</v>
      </c>
      <c r="M208" s="54">
        <f t="shared" si="147"/>
        <v>47</v>
      </c>
      <c r="N208" s="54">
        <f t="shared" si="147"/>
        <v>47</v>
      </c>
      <c r="O208" s="54">
        <f t="shared" si="147"/>
        <v>47</v>
      </c>
      <c r="P208" s="54">
        <f t="shared" si="147"/>
        <v>47</v>
      </c>
      <c r="Q208" s="397"/>
      <c r="R208" s="55"/>
    </row>
    <row r="209" spans="2:18" hidden="1">
      <c r="B209" s="94" t="s">
        <v>533</v>
      </c>
      <c r="C209" s="183"/>
      <c r="D209" s="189"/>
      <c r="E209" s="55" t="s">
        <v>229</v>
      </c>
      <c r="F209" s="28" t="s">
        <v>228</v>
      </c>
      <c r="G209" s="414"/>
      <c r="H209" s="414"/>
      <c r="I209" s="414"/>
      <c r="J209" s="414"/>
      <c r="K209" s="414"/>
      <c r="L209" s="414"/>
      <c r="M209" s="414"/>
      <c r="N209" s="414"/>
      <c r="O209" s="414"/>
      <c r="P209" s="414"/>
      <c r="Q209" s="397"/>
      <c r="R209" s="49"/>
    </row>
    <row r="210" spans="2:18" hidden="1">
      <c r="B210" s="94" t="s">
        <v>533</v>
      </c>
      <c r="C210" s="185"/>
      <c r="D210" s="189"/>
      <c r="E210" s="49" t="s">
        <v>325</v>
      </c>
      <c r="F210" s="28" t="s">
        <v>207</v>
      </c>
      <c r="G210" s="73">
        <f t="shared" ref="G210:P210" si="148">IF(G209="",G208,G209)*G207</f>
        <v>0</v>
      </c>
      <c r="H210" s="73">
        <f t="shared" si="148"/>
        <v>0</v>
      </c>
      <c r="I210" s="73">
        <f t="shared" si="148"/>
        <v>0</v>
      </c>
      <c r="J210" s="73">
        <f t="shared" si="148"/>
        <v>0</v>
      </c>
      <c r="K210" s="73">
        <f t="shared" si="148"/>
        <v>0</v>
      </c>
      <c r="L210" s="73">
        <f t="shared" si="148"/>
        <v>0</v>
      </c>
      <c r="M210" s="73">
        <f t="shared" si="148"/>
        <v>0</v>
      </c>
      <c r="N210" s="73">
        <f t="shared" si="148"/>
        <v>0</v>
      </c>
      <c r="O210" s="73">
        <f t="shared" si="148"/>
        <v>0</v>
      </c>
      <c r="P210" s="73">
        <f t="shared" si="148"/>
        <v>0</v>
      </c>
      <c r="Q210" s="397"/>
      <c r="R210" s="49"/>
    </row>
    <row r="211" spans="2:18" hidden="1">
      <c r="B211" s="94" t="s">
        <v>533</v>
      </c>
      <c r="C211" s="181" t="s">
        <v>557</v>
      </c>
      <c r="D211" s="189"/>
      <c r="E211" s="82" t="s">
        <v>558</v>
      </c>
      <c r="F211" s="28" t="s">
        <v>411</v>
      </c>
      <c r="G211" s="503" t="s">
        <v>233</v>
      </c>
      <c r="H211" s="503" t="s">
        <v>233</v>
      </c>
      <c r="I211" s="503" t="s">
        <v>233</v>
      </c>
      <c r="J211" s="503" t="s">
        <v>233</v>
      </c>
      <c r="K211" s="503" t="s">
        <v>233</v>
      </c>
      <c r="L211" s="503" t="s">
        <v>233</v>
      </c>
      <c r="M211" s="503" t="s">
        <v>233</v>
      </c>
      <c r="N211" s="503" t="s">
        <v>233</v>
      </c>
      <c r="O211" s="503" t="s">
        <v>233</v>
      </c>
      <c r="P211" s="503" t="s">
        <v>233</v>
      </c>
      <c r="Q211" s="397"/>
      <c r="R211" s="49"/>
    </row>
    <row r="212" spans="2:18" hidden="1">
      <c r="B212" s="94" t="s">
        <v>533</v>
      </c>
      <c r="C212" s="183"/>
      <c r="D212" s="189"/>
      <c r="E212" s="49" t="s">
        <v>227</v>
      </c>
      <c r="F212" s="28" t="s">
        <v>234</v>
      </c>
      <c r="G212" s="54">
        <f t="shared" ref="G212:P212" si="149">_xlfn.XLOOKUP(G211,Long_haul_soil_amend_names_mass_CS,Long_haul_soil_amend_rates_mass_CS)</f>
        <v>0.11650973647112783</v>
      </c>
      <c r="H212" s="54">
        <f t="shared" si="149"/>
        <v>0.11650973647112783</v>
      </c>
      <c r="I212" s="54">
        <f t="shared" si="149"/>
        <v>0.11650973647112783</v>
      </c>
      <c r="J212" s="54">
        <f t="shared" si="149"/>
        <v>0.11650973647112783</v>
      </c>
      <c r="K212" s="54">
        <f t="shared" si="149"/>
        <v>0.11650973647112783</v>
      </c>
      <c r="L212" s="54">
        <f t="shared" si="149"/>
        <v>0.11650973647112783</v>
      </c>
      <c r="M212" s="54">
        <f t="shared" si="149"/>
        <v>0.11650973647112783</v>
      </c>
      <c r="N212" s="54">
        <f t="shared" si="149"/>
        <v>0.11650973647112783</v>
      </c>
      <c r="O212" s="54">
        <f t="shared" si="149"/>
        <v>0.11650973647112783</v>
      </c>
      <c r="P212" s="54">
        <f t="shared" si="149"/>
        <v>0.11650973647112783</v>
      </c>
      <c r="Q212" s="397"/>
      <c r="R212" s="55"/>
    </row>
    <row r="213" spans="2:18" hidden="1">
      <c r="B213" s="94" t="s">
        <v>533</v>
      </c>
      <c r="C213" s="183"/>
      <c r="D213" s="189"/>
      <c r="E213" s="55" t="s">
        <v>229</v>
      </c>
      <c r="F213" s="28" t="s">
        <v>234</v>
      </c>
      <c r="G213" s="414"/>
      <c r="H213" s="414"/>
      <c r="I213" s="414"/>
      <c r="J213" s="414"/>
      <c r="K213" s="414"/>
      <c r="L213" s="414"/>
      <c r="M213" s="414"/>
      <c r="N213" s="414"/>
      <c r="O213" s="414"/>
      <c r="P213" s="414"/>
      <c r="Q213" s="397"/>
      <c r="R213" s="55"/>
    </row>
    <row r="214" spans="2:18" hidden="1">
      <c r="B214" s="94" t="s">
        <v>533</v>
      </c>
      <c r="C214" s="185"/>
      <c r="D214" s="189"/>
      <c r="E214" s="49" t="s">
        <v>146</v>
      </c>
      <c r="F214" s="28" t="s">
        <v>207</v>
      </c>
      <c r="G214" s="128">
        <f t="shared" ref="G214:P214" si="150">G207*_xlfn.XLOOKUP(G211,Long_haul_distance_names_L,Long_haul_distances_average_L)*IF(G213="",G212,G213)</f>
        <v>0</v>
      </c>
      <c r="H214" s="128">
        <f t="shared" si="150"/>
        <v>0</v>
      </c>
      <c r="I214" s="128">
        <f t="shared" si="150"/>
        <v>0</v>
      </c>
      <c r="J214" s="128">
        <f t="shared" si="150"/>
        <v>0</v>
      </c>
      <c r="K214" s="128">
        <f t="shared" si="150"/>
        <v>0</v>
      </c>
      <c r="L214" s="128">
        <f t="shared" si="150"/>
        <v>0</v>
      </c>
      <c r="M214" s="128">
        <f t="shared" si="150"/>
        <v>0</v>
      </c>
      <c r="N214" s="128">
        <f t="shared" si="150"/>
        <v>0</v>
      </c>
      <c r="O214" s="128">
        <f t="shared" si="150"/>
        <v>0</v>
      </c>
      <c r="P214" s="128">
        <f t="shared" si="150"/>
        <v>0</v>
      </c>
      <c r="Q214" s="397"/>
      <c r="R214" s="49"/>
    </row>
    <row r="215" spans="2:18" hidden="1">
      <c r="B215" s="94" t="s">
        <v>533</v>
      </c>
      <c r="C215" s="181" t="s">
        <v>328</v>
      </c>
      <c r="D215" s="189"/>
      <c r="E215" s="55" t="s">
        <v>229</v>
      </c>
      <c r="F215" s="28" t="s">
        <v>329</v>
      </c>
      <c r="G215" s="414"/>
      <c r="H215" s="414"/>
      <c r="I215" s="414"/>
      <c r="J215" s="414"/>
      <c r="K215" s="414"/>
      <c r="L215" s="414"/>
      <c r="M215" s="414"/>
      <c r="N215" s="414"/>
      <c r="O215" s="414"/>
      <c r="P215" s="414"/>
      <c r="Q215" s="397"/>
      <c r="R215" s="49"/>
    </row>
    <row r="216" spans="2:18" hidden="1">
      <c r="B216" s="94" t="s">
        <v>533</v>
      </c>
      <c r="C216" s="183"/>
      <c r="D216" s="189"/>
      <c r="E216" s="49" t="s">
        <v>227</v>
      </c>
      <c r="F216" s="28" t="s">
        <v>329</v>
      </c>
      <c r="G216" s="54">
        <f>'Cost Schedule'!$D$9</f>
        <v>2323.4444444444448</v>
      </c>
      <c r="H216" s="54">
        <f>'Cost Schedule'!$D$9</f>
        <v>2323.4444444444448</v>
      </c>
      <c r="I216" s="54">
        <f>'Cost Schedule'!$D$9</f>
        <v>2323.4444444444448</v>
      </c>
      <c r="J216" s="54">
        <f>'Cost Schedule'!$D$9</f>
        <v>2323.4444444444448</v>
      </c>
      <c r="K216" s="54">
        <f>'Cost Schedule'!$D$9</f>
        <v>2323.4444444444448</v>
      </c>
      <c r="L216" s="54">
        <f>'Cost Schedule'!$D$9</f>
        <v>2323.4444444444448</v>
      </c>
      <c r="M216" s="54">
        <f>'Cost Schedule'!$D$9</f>
        <v>2323.4444444444448</v>
      </c>
      <c r="N216" s="54">
        <f>'Cost Schedule'!$D$9</f>
        <v>2323.4444444444448</v>
      </c>
      <c r="O216" s="54">
        <f>'Cost Schedule'!$D$9</f>
        <v>2323.4444444444448</v>
      </c>
      <c r="P216" s="54">
        <f>'Cost Schedule'!$D$9</f>
        <v>2323.4444444444448</v>
      </c>
      <c r="Q216" s="397"/>
      <c r="R216" s="55"/>
    </row>
    <row r="217" spans="2:18" hidden="1">
      <c r="B217" s="94" t="s">
        <v>533</v>
      </c>
      <c r="C217" s="185"/>
      <c r="D217" s="190"/>
      <c r="E217" s="49" t="s">
        <v>146</v>
      </c>
      <c r="F217" s="28" t="s">
        <v>207</v>
      </c>
      <c r="G217" s="129">
        <f t="shared" ref="G217:P217" si="151">G204*IF(G215="",G216,G215)</f>
        <v>0</v>
      </c>
      <c r="H217" s="129">
        <f t="shared" si="151"/>
        <v>0</v>
      </c>
      <c r="I217" s="129">
        <f t="shared" si="151"/>
        <v>0</v>
      </c>
      <c r="J217" s="129">
        <f t="shared" si="151"/>
        <v>0</v>
      </c>
      <c r="K217" s="129">
        <f t="shared" si="151"/>
        <v>0</v>
      </c>
      <c r="L217" s="129">
        <f t="shared" si="151"/>
        <v>0</v>
      </c>
      <c r="M217" s="129">
        <f t="shared" si="151"/>
        <v>0</v>
      </c>
      <c r="N217" s="129">
        <f t="shared" si="151"/>
        <v>0</v>
      </c>
      <c r="O217" s="129">
        <f t="shared" si="151"/>
        <v>0</v>
      </c>
      <c r="P217" s="129">
        <f t="shared" si="151"/>
        <v>0</v>
      </c>
      <c r="Q217" s="397"/>
      <c r="R217" s="49"/>
    </row>
    <row r="218" spans="2:18" hidden="1">
      <c r="B218" s="94" t="s">
        <v>533</v>
      </c>
      <c r="C218" s="200"/>
      <c r="D218" s="188"/>
      <c r="E218" s="67" t="str">
        <f>C202</f>
        <v>Source and apply ameliorants</v>
      </c>
      <c r="F218" s="72"/>
      <c r="G218" s="80">
        <f t="shared" ref="G218:P218" si="152">G210+G214+G217</f>
        <v>0</v>
      </c>
      <c r="H218" s="80">
        <f t="shared" si="152"/>
        <v>0</v>
      </c>
      <c r="I218" s="80">
        <f t="shared" si="152"/>
        <v>0</v>
      </c>
      <c r="J218" s="80">
        <f t="shared" si="152"/>
        <v>0</v>
      </c>
      <c r="K218" s="80">
        <f t="shared" si="152"/>
        <v>0</v>
      </c>
      <c r="L218" s="80">
        <f t="shared" si="152"/>
        <v>0</v>
      </c>
      <c r="M218" s="80">
        <f t="shared" si="152"/>
        <v>0</v>
      </c>
      <c r="N218" s="80">
        <f t="shared" si="152"/>
        <v>0</v>
      </c>
      <c r="O218" s="80">
        <f t="shared" si="152"/>
        <v>0</v>
      </c>
      <c r="P218" s="80">
        <f t="shared" si="152"/>
        <v>0</v>
      </c>
      <c r="Q218" s="397"/>
      <c r="R218" s="49"/>
    </row>
    <row r="219" spans="2:18" hidden="1">
      <c r="B219" s="94" t="s">
        <v>533</v>
      </c>
      <c r="C219" s="187" t="s">
        <v>560</v>
      </c>
      <c r="D219" s="118" t="s">
        <v>345</v>
      </c>
      <c r="E219" s="49" t="s">
        <v>623</v>
      </c>
      <c r="F219" s="28" t="s">
        <v>299</v>
      </c>
      <c r="G219" s="78">
        <f>G$25</f>
        <v>0</v>
      </c>
      <c r="H219" s="78">
        <f t="shared" ref="H219:P219" si="153">H$25</f>
        <v>0</v>
      </c>
      <c r="I219" s="78">
        <f t="shared" si="153"/>
        <v>0</v>
      </c>
      <c r="J219" s="78">
        <f t="shared" si="153"/>
        <v>0</v>
      </c>
      <c r="K219" s="78">
        <f t="shared" si="153"/>
        <v>0</v>
      </c>
      <c r="L219" s="78">
        <f t="shared" si="153"/>
        <v>0</v>
      </c>
      <c r="M219" s="78">
        <f t="shared" si="153"/>
        <v>0</v>
      </c>
      <c r="N219" s="78">
        <f t="shared" si="153"/>
        <v>0</v>
      </c>
      <c r="O219" s="78">
        <f t="shared" si="153"/>
        <v>0</v>
      </c>
      <c r="P219" s="78">
        <f t="shared" si="153"/>
        <v>0</v>
      </c>
      <c r="Q219" s="397"/>
      <c r="R219" s="55"/>
    </row>
    <row r="220" spans="2:18" hidden="1">
      <c r="B220" s="94" t="s">
        <v>533</v>
      </c>
      <c r="C220" s="183"/>
      <c r="D220" s="189"/>
      <c r="E220" s="49" t="s">
        <v>624</v>
      </c>
      <c r="F220" s="28" t="s">
        <v>299</v>
      </c>
      <c r="G220" s="515"/>
      <c r="H220" s="515"/>
      <c r="I220" s="515"/>
      <c r="J220" s="515"/>
      <c r="K220" s="515"/>
      <c r="L220" s="515"/>
      <c r="M220" s="515"/>
      <c r="N220" s="515"/>
      <c r="O220" s="515"/>
      <c r="P220" s="515"/>
      <c r="Q220" s="397"/>
      <c r="R220" s="49"/>
    </row>
    <row r="221" spans="2:18" hidden="1">
      <c r="B221" s="94" t="s">
        <v>533</v>
      </c>
      <c r="C221" s="185"/>
      <c r="D221" s="189"/>
      <c r="E221" s="49" t="s">
        <v>625</v>
      </c>
      <c r="F221" s="28" t="s">
        <v>299</v>
      </c>
      <c r="G221" s="78">
        <f t="shared" ref="G221:P221" si="154">IF(G220="",G219,G220)</f>
        <v>0</v>
      </c>
      <c r="H221" s="78">
        <f t="shared" si="154"/>
        <v>0</v>
      </c>
      <c r="I221" s="78">
        <f t="shared" si="154"/>
        <v>0</v>
      </c>
      <c r="J221" s="78">
        <f t="shared" si="154"/>
        <v>0</v>
      </c>
      <c r="K221" s="78">
        <f t="shared" si="154"/>
        <v>0</v>
      </c>
      <c r="L221" s="78">
        <f t="shared" si="154"/>
        <v>0</v>
      </c>
      <c r="M221" s="78">
        <f t="shared" si="154"/>
        <v>0</v>
      </c>
      <c r="N221" s="78">
        <f t="shared" si="154"/>
        <v>0</v>
      </c>
      <c r="O221" s="78">
        <f t="shared" si="154"/>
        <v>0</v>
      </c>
      <c r="P221" s="78">
        <f t="shared" si="154"/>
        <v>0</v>
      </c>
      <c r="Q221" s="397"/>
      <c r="R221" s="55"/>
    </row>
    <row r="222" spans="2:18" ht="33.75" hidden="1">
      <c r="B222" s="94" t="s">
        <v>533</v>
      </c>
      <c r="C222" s="181" t="s">
        <v>344</v>
      </c>
      <c r="D222" s="189"/>
      <c r="E222" s="49" t="s">
        <v>333</v>
      </c>
      <c r="F222" s="28" t="s">
        <v>123</v>
      </c>
      <c r="G222" s="412" t="s">
        <v>346</v>
      </c>
      <c r="H222" s="412" t="s">
        <v>346</v>
      </c>
      <c r="I222" s="412" t="s">
        <v>347</v>
      </c>
      <c r="J222" s="412" t="s">
        <v>347</v>
      </c>
      <c r="K222" s="412" t="s">
        <v>348</v>
      </c>
      <c r="L222" s="412" t="s">
        <v>349</v>
      </c>
      <c r="M222" s="412" t="s">
        <v>661</v>
      </c>
      <c r="N222" s="412" t="s">
        <v>662</v>
      </c>
      <c r="O222" s="412" t="s">
        <v>350</v>
      </c>
      <c r="P222" s="412" t="s">
        <v>351</v>
      </c>
      <c r="Q222" s="397"/>
      <c r="R222" s="49"/>
    </row>
    <row r="223" spans="2:18" hidden="1">
      <c r="B223" s="94" t="s">
        <v>533</v>
      </c>
      <c r="C223" s="183"/>
      <c r="D223" s="189"/>
      <c r="E223" s="49" t="s">
        <v>227</v>
      </c>
      <c r="F223" s="28" t="s">
        <v>352</v>
      </c>
      <c r="G223" s="54">
        <f>_xlfn.XLOOKUP(G222,Rates_soil_seed_adds_names_R,Rates_soil_seed_adds_rates_R)</f>
        <v>150</v>
      </c>
      <c r="H223" s="54">
        <f t="shared" ref="H223:P223" si="155">_xlfn.XLOOKUP(H222,Rates_soil_seed_adds_names_R,Rates_soil_seed_adds_rates_R)</f>
        <v>150</v>
      </c>
      <c r="I223" s="54">
        <f t="shared" si="155"/>
        <v>350</v>
      </c>
      <c r="J223" s="54">
        <f t="shared" si="155"/>
        <v>350</v>
      </c>
      <c r="K223" s="54">
        <f t="shared" si="155"/>
        <v>5</v>
      </c>
      <c r="L223" s="54">
        <f t="shared" si="155"/>
        <v>15</v>
      </c>
      <c r="M223" s="54">
        <f t="shared" si="155"/>
        <v>17.647058823529413</v>
      </c>
      <c r="N223" s="54">
        <f t="shared" si="155"/>
        <v>920</v>
      </c>
      <c r="O223" s="54">
        <f t="shared" si="155"/>
        <v>17.647058823529413</v>
      </c>
      <c r="P223" s="54">
        <f t="shared" si="155"/>
        <v>920</v>
      </c>
      <c r="Q223" s="397"/>
      <c r="R223" s="55"/>
    </row>
    <row r="224" spans="2:18" hidden="1">
      <c r="B224" s="94" t="s">
        <v>533</v>
      </c>
      <c r="C224" s="183"/>
      <c r="D224" s="189"/>
      <c r="E224" s="49" t="s">
        <v>353</v>
      </c>
      <c r="G224" s="70" t="str">
        <f t="shared" ref="G224:P224" si="156">IF(G222=Arid,"",_xlfn.XLOOKUP(G222,Rates_soil_seed_adds_names_R,Rates_soil_seed_add_units_R))</f>
        <v>kg</v>
      </c>
      <c r="H224" s="70" t="str">
        <f t="shared" si="156"/>
        <v>kg</v>
      </c>
      <c r="I224" s="70" t="str">
        <f t="shared" si="156"/>
        <v>kg</v>
      </c>
      <c r="J224" s="70" t="str">
        <f t="shared" si="156"/>
        <v>kg</v>
      </c>
      <c r="K224" s="70" t="str">
        <f t="shared" si="156"/>
        <v>item</v>
      </c>
      <c r="L224" s="70" t="str">
        <f t="shared" si="156"/>
        <v>item</v>
      </c>
      <c r="M224" s="70" t="str">
        <f t="shared" si="156"/>
        <v>kg</v>
      </c>
      <c r="N224" s="70" t="str">
        <f t="shared" si="156"/>
        <v>kg</v>
      </c>
      <c r="O224" s="70" t="str">
        <f t="shared" si="156"/>
        <v>kg</v>
      </c>
      <c r="P224" s="70" t="str">
        <f t="shared" si="156"/>
        <v>kg</v>
      </c>
      <c r="Q224" s="397"/>
      <c r="R224" s="55"/>
    </row>
    <row r="225" spans="2:18" hidden="1">
      <c r="B225" s="94" t="s">
        <v>533</v>
      </c>
      <c r="C225" s="183"/>
      <c r="D225" s="189"/>
      <c r="E225" s="55" t="s">
        <v>229</v>
      </c>
      <c r="F225" s="28" t="s">
        <v>352</v>
      </c>
      <c r="G225" s="414"/>
      <c r="H225" s="414"/>
      <c r="I225" s="414"/>
      <c r="J225" s="414"/>
      <c r="K225" s="414"/>
      <c r="L225" s="414"/>
      <c r="M225" s="414"/>
      <c r="N225" s="414"/>
      <c r="O225" s="414"/>
      <c r="P225" s="414"/>
      <c r="Q225" s="397"/>
      <c r="R225" s="49"/>
    </row>
    <row r="226" spans="2:18" hidden="1">
      <c r="B226" s="94" t="s">
        <v>533</v>
      </c>
      <c r="C226" s="183"/>
      <c r="D226" s="189"/>
      <c r="E226" s="55" t="s">
        <v>320</v>
      </c>
      <c r="F226" s="28" t="s">
        <v>354</v>
      </c>
      <c r="G226" s="78">
        <f t="shared" ref="G226:P226" si="157">_xlfn.XLOOKUP(G222,Plant_and_seed_appln_rate_names_Assumptions,Plant_and_seed_appln_rates_rates_Assumptions)</f>
        <v>5</v>
      </c>
      <c r="H226" s="78">
        <f t="shared" si="157"/>
        <v>5</v>
      </c>
      <c r="I226" s="78">
        <f t="shared" si="157"/>
        <v>7</v>
      </c>
      <c r="J226" s="78">
        <f t="shared" si="157"/>
        <v>7</v>
      </c>
      <c r="K226" s="78">
        <f t="shared" si="157"/>
        <v>150</v>
      </c>
      <c r="L226" s="78">
        <f t="shared" si="157"/>
        <v>75</v>
      </c>
      <c r="M226" s="78">
        <f t="shared" si="157"/>
        <v>42.5</v>
      </c>
      <c r="N226" s="78">
        <f t="shared" si="157"/>
        <v>12.5</v>
      </c>
      <c r="O226" s="78">
        <f t="shared" si="157"/>
        <v>42.5</v>
      </c>
      <c r="P226" s="78">
        <f t="shared" si="157"/>
        <v>12.5</v>
      </c>
      <c r="Q226" s="397"/>
      <c r="R226" s="49"/>
    </row>
    <row r="227" spans="2:18" hidden="1">
      <c r="B227" s="94" t="s">
        <v>533</v>
      </c>
      <c r="C227" s="183"/>
      <c r="D227" s="189"/>
      <c r="E227" s="55" t="s">
        <v>355</v>
      </c>
      <c r="G227" s="78">
        <f>G226*G221</f>
        <v>0</v>
      </c>
      <c r="H227" s="78">
        <f t="shared" ref="H227:P227" si="158">H226*H221</f>
        <v>0</v>
      </c>
      <c r="I227" s="78">
        <f t="shared" si="158"/>
        <v>0</v>
      </c>
      <c r="J227" s="78">
        <f t="shared" si="158"/>
        <v>0</v>
      </c>
      <c r="K227" s="78">
        <f t="shared" si="158"/>
        <v>0</v>
      </c>
      <c r="L227" s="78">
        <f t="shared" si="158"/>
        <v>0</v>
      </c>
      <c r="M227" s="78">
        <f t="shared" si="158"/>
        <v>0</v>
      </c>
      <c r="N227" s="78">
        <f t="shared" si="158"/>
        <v>0</v>
      </c>
      <c r="O227" s="78">
        <f t="shared" si="158"/>
        <v>0</v>
      </c>
      <c r="P227" s="78">
        <f t="shared" si="158"/>
        <v>0</v>
      </c>
      <c r="Q227" s="397"/>
      <c r="R227" s="49"/>
    </row>
    <row r="228" spans="2:18" hidden="1">
      <c r="B228" s="94" t="s">
        <v>533</v>
      </c>
      <c r="C228" s="185"/>
      <c r="D228" s="189"/>
      <c r="E228" s="49" t="s">
        <v>146</v>
      </c>
      <c r="F228" s="28" t="s">
        <v>207</v>
      </c>
      <c r="G228" s="79">
        <f>IF(G225="",G223,G225)*G227</f>
        <v>0</v>
      </c>
      <c r="H228" s="79">
        <f t="shared" ref="H228:P228" si="159">IF(H225="",H223,H225)*H227</f>
        <v>0</v>
      </c>
      <c r="I228" s="79">
        <f t="shared" si="159"/>
        <v>0</v>
      </c>
      <c r="J228" s="79">
        <f t="shared" si="159"/>
        <v>0</v>
      </c>
      <c r="K228" s="79">
        <f t="shared" si="159"/>
        <v>0</v>
      </c>
      <c r="L228" s="79">
        <f t="shared" si="159"/>
        <v>0</v>
      </c>
      <c r="M228" s="79">
        <f t="shared" si="159"/>
        <v>0</v>
      </c>
      <c r="N228" s="79">
        <f t="shared" si="159"/>
        <v>0</v>
      </c>
      <c r="O228" s="79">
        <f t="shared" si="159"/>
        <v>0</v>
      </c>
      <c r="P228" s="79">
        <f t="shared" si="159"/>
        <v>0</v>
      </c>
      <c r="Q228" s="397"/>
      <c r="R228" s="49"/>
    </row>
    <row r="229" spans="2:18" ht="56.25" hidden="1">
      <c r="B229" s="94" t="s">
        <v>533</v>
      </c>
      <c r="C229" s="181" t="s">
        <v>356</v>
      </c>
      <c r="D229" s="189"/>
      <c r="E229" s="49" t="s">
        <v>357</v>
      </c>
      <c r="F229" s="28" t="s">
        <v>123</v>
      </c>
      <c r="G229" s="412" t="s">
        <v>358</v>
      </c>
      <c r="H229" s="412" t="s">
        <v>359</v>
      </c>
      <c r="I229" s="412" t="s">
        <v>360</v>
      </c>
      <c r="J229" s="412" t="s">
        <v>361</v>
      </c>
      <c r="K229" s="412" t="s">
        <v>362</v>
      </c>
      <c r="L229" s="412" t="s">
        <v>363</v>
      </c>
      <c r="M229" s="412" t="s">
        <v>664</v>
      </c>
      <c r="N229" s="412" t="s">
        <v>665</v>
      </c>
      <c r="O229" s="412" t="s">
        <v>364</v>
      </c>
      <c r="P229" s="412" t="s">
        <v>365</v>
      </c>
      <c r="Q229" s="397"/>
      <c r="R229" s="49"/>
    </row>
    <row r="230" spans="2:18" hidden="1">
      <c r="B230" s="94" t="s">
        <v>533</v>
      </c>
      <c r="C230" s="183"/>
      <c r="D230" s="189"/>
      <c r="E230" s="49" t="s">
        <v>227</v>
      </c>
      <c r="F230" s="28" t="s">
        <v>299</v>
      </c>
      <c r="G230" s="54">
        <f t="shared" ref="G230:P230" si="160">IF(G222=Arid,0,_xlfn.XLOOKUP(G229,Plant_and_seed_apply_plant_names_CS,Plant_and_seed_apply_plant_rates_CS))</f>
        <v>539.45026666666672</v>
      </c>
      <c r="H230" s="54">
        <f t="shared" si="160"/>
        <v>265.67200000000003</v>
      </c>
      <c r="I230" s="54">
        <f t="shared" si="160"/>
        <v>539.45026666666672</v>
      </c>
      <c r="J230" s="54">
        <f t="shared" si="160"/>
        <v>265.67200000000003</v>
      </c>
      <c r="K230" s="54">
        <f t="shared" si="160"/>
        <v>218.42099999999999</v>
      </c>
      <c r="L230" s="54">
        <f t="shared" si="160"/>
        <v>634.21050000000002</v>
      </c>
      <c r="M230" s="54">
        <f t="shared" si="160"/>
        <v>3960</v>
      </c>
      <c r="N230" s="54">
        <f t="shared" si="160"/>
        <v>3960</v>
      </c>
      <c r="O230" s="54">
        <f t="shared" si="160"/>
        <v>46000</v>
      </c>
      <c r="P230" s="54">
        <f t="shared" si="160"/>
        <v>46000</v>
      </c>
      <c r="Q230" s="397"/>
      <c r="R230" s="49"/>
    </row>
    <row r="231" spans="2:18" hidden="1">
      <c r="B231" s="94" t="s">
        <v>533</v>
      </c>
      <c r="C231" s="183"/>
      <c r="D231" s="189"/>
      <c r="E231" s="55" t="s">
        <v>229</v>
      </c>
      <c r="F231" s="28" t="s">
        <v>329</v>
      </c>
      <c r="G231" s="414"/>
      <c r="H231" s="414"/>
      <c r="I231" s="414"/>
      <c r="J231" s="414"/>
      <c r="K231" s="414"/>
      <c r="L231" s="414"/>
      <c r="M231" s="414"/>
      <c r="N231" s="414"/>
      <c r="O231" s="414"/>
      <c r="P231" s="414"/>
      <c r="Q231" s="397"/>
      <c r="R231" s="49"/>
    </row>
    <row r="232" spans="2:18" hidden="1">
      <c r="B232" s="94" t="s">
        <v>533</v>
      </c>
      <c r="C232" s="185"/>
      <c r="D232" s="189"/>
      <c r="E232" s="49" t="s">
        <v>146</v>
      </c>
      <c r="F232" s="28" t="s">
        <v>207</v>
      </c>
      <c r="G232" s="79">
        <f>G$221*IF(G231="",G230,G231)</f>
        <v>0</v>
      </c>
      <c r="H232" s="79">
        <f t="shared" ref="H232:P232" si="161">H$221*IF(H231="",H230,H231)</f>
        <v>0</v>
      </c>
      <c r="I232" s="79">
        <f t="shared" si="161"/>
        <v>0</v>
      </c>
      <c r="J232" s="79">
        <f t="shared" si="161"/>
        <v>0</v>
      </c>
      <c r="K232" s="79">
        <f t="shared" si="161"/>
        <v>0</v>
      </c>
      <c r="L232" s="79">
        <f t="shared" si="161"/>
        <v>0</v>
      </c>
      <c r="M232" s="79">
        <f t="shared" si="161"/>
        <v>0</v>
      </c>
      <c r="N232" s="79">
        <f t="shared" si="161"/>
        <v>0</v>
      </c>
      <c r="O232" s="79">
        <f t="shared" si="161"/>
        <v>0</v>
      </c>
      <c r="P232" s="79">
        <f t="shared" si="161"/>
        <v>0</v>
      </c>
      <c r="Q232" s="397"/>
      <c r="R232" s="49"/>
    </row>
    <row r="233" spans="2:18" ht="56.25" hidden="1">
      <c r="B233" s="94" t="s">
        <v>533</v>
      </c>
      <c r="C233" s="181" t="s">
        <v>367</v>
      </c>
      <c r="D233" s="189"/>
      <c r="E233" s="49" t="s">
        <v>357</v>
      </c>
      <c r="F233" s="28" t="s">
        <v>123</v>
      </c>
      <c r="G233" s="412" t="s">
        <v>368</v>
      </c>
      <c r="H233" s="412" t="s">
        <v>369</v>
      </c>
      <c r="I233" s="412" t="s">
        <v>370</v>
      </c>
      <c r="J233" s="412" t="s">
        <v>371</v>
      </c>
      <c r="K233" s="412" t="s">
        <v>372</v>
      </c>
      <c r="L233" s="412" t="s">
        <v>373</v>
      </c>
      <c r="M233" s="412" t="s">
        <v>666</v>
      </c>
      <c r="N233" s="412" t="s">
        <v>667</v>
      </c>
      <c r="O233" s="412" t="s">
        <v>374</v>
      </c>
      <c r="P233" s="412" t="s">
        <v>375</v>
      </c>
      <c r="Q233" s="397"/>
      <c r="R233" s="49"/>
    </row>
    <row r="234" spans="2:18" hidden="1">
      <c r="B234" s="94" t="s">
        <v>533</v>
      </c>
      <c r="C234" s="183"/>
      <c r="D234" s="189"/>
      <c r="E234" s="49" t="s">
        <v>227</v>
      </c>
      <c r="F234" s="28" t="s">
        <v>299</v>
      </c>
      <c r="G234" s="54">
        <f t="shared" ref="G234:P234" si="162">IF(G222=Arid,0,_xlfn.XLOOKUP(G233,Plant_and_seed_fertiliser_buy_names_CS,Plant_and_seed_fertiliser_buy_rates_CS))</f>
        <v>337.65264299999996</v>
      </c>
      <c r="H234" s="54">
        <f t="shared" si="162"/>
        <v>337.65264299999996</v>
      </c>
      <c r="I234" s="54">
        <f t="shared" si="162"/>
        <v>50</v>
      </c>
      <c r="J234" s="54">
        <f t="shared" si="162"/>
        <v>50</v>
      </c>
      <c r="K234" s="54">
        <f t="shared" si="162"/>
        <v>50</v>
      </c>
      <c r="L234" s="54">
        <f t="shared" si="162"/>
        <v>50</v>
      </c>
      <c r="M234" s="54">
        <f t="shared" si="162"/>
        <v>365.79036324999993</v>
      </c>
      <c r="N234" s="54">
        <f t="shared" si="162"/>
        <v>162.5</v>
      </c>
      <c r="O234" s="54">
        <f t="shared" si="162"/>
        <v>365.79036324999993</v>
      </c>
      <c r="P234" s="54">
        <f t="shared" si="162"/>
        <v>365.79036324999993</v>
      </c>
      <c r="Q234" s="397"/>
      <c r="R234" s="49"/>
    </row>
    <row r="235" spans="2:18" hidden="1">
      <c r="B235" s="94" t="s">
        <v>533</v>
      </c>
      <c r="C235" s="183"/>
      <c r="D235" s="189"/>
      <c r="E235" s="55" t="s">
        <v>229</v>
      </c>
      <c r="F235" s="28" t="s">
        <v>329</v>
      </c>
      <c r="G235" s="414"/>
      <c r="H235" s="414"/>
      <c r="I235" s="414"/>
      <c r="J235" s="414"/>
      <c r="K235" s="414"/>
      <c r="L235" s="414"/>
      <c r="M235" s="414"/>
      <c r="N235" s="414"/>
      <c r="O235" s="414"/>
      <c r="P235" s="414"/>
      <c r="Q235" s="397"/>
      <c r="R235" s="49"/>
    </row>
    <row r="236" spans="2:18" hidden="1">
      <c r="B236" s="94" t="s">
        <v>533</v>
      </c>
      <c r="C236" s="185"/>
      <c r="D236" s="189"/>
      <c r="E236" s="49" t="s">
        <v>146</v>
      </c>
      <c r="F236" s="28" t="s">
        <v>207</v>
      </c>
      <c r="G236" s="79">
        <f>G$221*IF(G235="",G234,G235)</f>
        <v>0</v>
      </c>
      <c r="H236" s="79">
        <f t="shared" ref="H236" si="163">H$221*IF(H235="",H234,H235)</f>
        <v>0</v>
      </c>
      <c r="I236" s="79">
        <f t="shared" ref="I236" si="164">I$221*IF(I235="",I234,I235)</f>
        <v>0</v>
      </c>
      <c r="J236" s="79">
        <f t="shared" ref="J236" si="165">J$221*IF(J235="",J234,J235)</f>
        <v>0</v>
      </c>
      <c r="K236" s="79">
        <f t="shared" ref="K236" si="166">K$221*IF(K235="",K234,K235)</f>
        <v>0</v>
      </c>
      <c r="L236" s="79">
        <f t="shared" ref="L236" si="167">L$221*IF(L235="",L234,L235)</f>
        <v>0</v>
      </c>
      <c r="M236" s="79">
        <f t="shared" ref="M236" si="168">M$221*IF(M235="",M234,M235)</f>
        <v>0</v>
      </c>
      <c r="N236" s="79">
        <f t="shared" ref="N236" si="169">N$221*IF(N235="",N234,N235)</f>
        <v>0</v>
      </c>
      <c r="O236" s="79">
        <f t="shared" ref="O236" si="170">O$221*IF(O235="",O234,O235)</f>
        <v>0</v>
      </c>
      <c r="P236" s="79">
        <f t="shared" ref="P236" si="171">P$221*IF(P235="",P234,P235)</f>
        <v>0</v>
      </c>
      <c r="Q236" s="397"/>
      <c r="R236" s="49"/>
    </row>
    <row r="237" spans="2:18" ht="56.25" hidden="1">
      <c r="B237" s="94" t="s">
        <v>533</v>
      </c>
      <c r="C237" s="181" t="s">
        <v>376</v>
      </c>
      <c r="D237" s="189"/>
      <c r="E237" s="49" t="s">
        <v>357</v>
      </c>
      <c r="F237" s="28" t="s">
        <v>123</v>
      </c>
      <c r="G237" s="412" t="s">
        <v>377</v>
      </c>
      <c r="H237" s="412" t="s">
        <v>378</v>
      </c>
      <c r="I237" s="412" t="s">
        <v>379</v>
      </c>
      <c r="J237" s="412" t="s">
        <v>380</v>
      </c>
      <c r="K237" s="412" t="s">
        <v>381</v>
      </c>
      <c r="L237" s="412" t="s">
        <v>382</v>
      </c>
      <c r="M237" s="412" t="s">
        <v>668</v>
      </c>
      <c r="N237" s="412" t="s">
        <v>669</v>
      </c>
      <c r="O237" s="412" t="s">
        <v>383</v>
      </c>
      <c r="P237" s="412" t="s">
        <v>384</v>
      </c>
      <c r="Q237" s="397"/>
      <c r="R237" s="49"/>
    </row>
    <row r="238" spans="2:18" hidden="1">
      <c r="B238" s="94" t="s">
        <v>533</v>
      </c>
      <c r="C238" s="183"/>
      <c r="D238" s="189"/>
      <c r="E238" s="49" t="s">
        <v>227</v>
      </c>
      <c r="F238" s="28" t="s">
        <v>299</v>
      </c>
      <c r="G238" s="54">
        <f t="shared" ref="G238:P238" si="172">IF(G222=Arid,0,_xlfn.XLOOKUP(G237,Plant_and_seed_apply_fertiliser_names_CS,Plant_and_seed_fertiliser_apply_rates_CS))</f>
        <v>151.0736</v>
      </c>
      <c r="H238" s="54">
        <f t="shared" si="172"/>
        <v>39.473333333333336</v>
      </c>
      <c r="I238" s="54">
        <f t="shared" si="172"/>
        <v>151.0736</v>
      </c>
      <c r="J238" s="54">
        <f t="shared" si="172"/>
        <v>39.473333333333336</v>
      </c>
      <c r="K238" s="54">
        <f t="shared" si="172"/>
        <v>9.4736000000000011</v>
      </c>
      <c r="L238" s="54">
        <f t="shared" si="172"/>
        <v>9.4736000000000011</v>
      </c>
      <c r="M238" s="54">
        <f t="shared" si="172"/>
        <v>0</v>
      </c>
      <c r="N238" s="54">
        <f t="shared" si="172"/>
        <v>0</v>
      </c>
      <c r="O238" s="54">
        <f t="shared" si="172"/>
        <v>0</v>
      </c>
      <c r="P238" s="54">
        <f t="shared" si="172"/>
        <v>0</v>
      </c>
      <c r="Q238" s="397"/>
      <c r="R238" s="49"/>
    </row>
    <row r="239" spans="2:18" hidden="1">
      <c r="B239" s="94" t="s">
        <v>533</v>
      </c>
      <c r="C239" s="183"/>
      <c r="D239" s="189"/>
      <c r="E239" s="55" t="s">
        <v>229</v>
      </c>
      <c r="F239" s="28" t="s">
        <v>329</v>
      </c>
      <c r="G239" s="414"/>
      <c r="H239" s="414"/>
      <c r="I239" s="414"/>
      <c r="J239" s="414"/>
      <c r="K239" s="414"/>
      <c r="L239" s="414"/>
      <c r="M239" s="414"/>
      <c r="N239" s="414"/>
      <c r="O239" s="414"/>
      <c r="P239" s="414"/>
      <c r="Q239" s="397"/>
      <c r="R239" s="49"/>
    </row>
    <row r="240" spans="2:18" hidden="1">
      <c r="B240" s="94" t="s">
        <v>533</v>
      </c>
      <c r="C240" s="185"/>
      <c r="D240" s="189"/>
      <c r="E240" s="49" t="s">
        <v>146</v>
      </c>
      <c r="F240" s="28" t="s">
        <v>207</v>
      </c>
      <c r="G240" s="79">
        <f>G$221*IF(G239="",G238,G239)</f>
        <v>0</v>
      </c>
      <c r="H240" s="79">
        <f t="shared" ref="H240" si="173">H$221*IF(H239="",H238,H239)</f>
        <v>0</v>
      </c>
      <c r="I240" s="79">
        <f t="shared" ref="I240" si="174">I$221*IF(I239="",I238,I239)</f>
        <v>0</v>
      </c>
      <c r="J240" s="79">
        <f t="shared" ref="J240" si="175">J$221*IF(J239="",J238,J239)</f>
        <v>0</v>
      </c>
      <c r="K240" s="79">
        <f t="shared" ref="K240" si="176">K$221*IF(K239="",K238,K239)</f>
        <v>0</v>
      </c>
      <c r="L240" s="79">
        <f t="shared" ref="L240" si="177">L$221*IF(L239="",L238,L239)</f>
        <v>0</v>
      </c>
      <c r="M240" s="79">
        <f t="shared" ref="M240" si="178">M$221*IF(M239="",M238,M239)</f>
        <v>0</v>
      </c>
      <c r="N240" s="79">
        <f t="shared" ref="N240" si="179">N$221*IF(N239="",N238,N239)</f>
        <v>0</v>
      </c>
      <c r="O240" s="79">
        <f t="shared" ref="O240" si="180">O$221*IF(O239="",O238,O239)</f>
        <v>0</v>
      </c>
      <c r="P240" s="79">
        <f t="shared" ref="P240" si="181">P$221*IF(P239="",P238,P239)</f>
        <v>0</v>
      </c>
      <c r="Q240" s="397"/>
      <c r="R240" s="49"/>
    </row>
    <row r="241" spans="2:18" ht="45" hidden="1">
      <c r="B241" s="94" t="s">
        <v>533</v>
      </c>
      <c r="C241" s="181" t="s">
        <v>386</v>
      </c>
      <c r="D241" s="189"/>
      <c r="E241" s="49" t="s">
        <v>357</v>
      </c>
      <c r="F241" s="28" t="s">
        <v>123</v>
      </c>
      <c r="G241" s="412" t="s">
        <v>387</v>
      </c>
      <c r="H241" s="412" t="s">
        <v>388</v>
      </c>
      <c r="I241" s="412" t="s">
        <v>389</v>
      </c>
      <c r="J241" s="412" t="s">
        <v>390</v>
      </c>
      <c r="K241" s="412" t="s">
        <v>391</v>
      </c>
      <c r="L241" s="412" t="s">
        <v>392</v>
      </c>
      <c r="M241" s="412" t="s">
        <v>827</v>
      </c>
      <c r="N241" s="412" t="s">
        <v>670</v>
      </c>
      <c r="O241" s="412" t="s">
        <v>393</v>
      </c>
      <c r="P241" s="412" t="s">
        <v>394</v>
      </c>
      <c r="Q241" s="397"/>
      <c r="R241" s="49"/>
    </row>
    <row r="242" spans="2:18" hidden="1">
      <c r="B242" s="94" t="s">
        <v>533</v>
      </c>
      <c r="C242" s="183"/>
      <c r="D242" s="189"/>
      <c r="E242" s="49" t="s">
        <v>227</v>
      </c>
      <c r="F242" s="28" t="s">
        <v>299</v>
      </c>
      <c r="G242" s="54">
        <f t="shared" ref="G242:P242" si="182">IF(G222=Arid,0,_xlfn.XLOOKUP(G241,Plant_and_seed_buy_water_names_CS,Plant_and_seed_water_buy_rates_CS))</f>
        <v>1200</v>
      </c>
      <c r="H242" s="54">
        <f t="shared" si="182"/>
        <v>1200</v>
      </c>
      <c r="I242" s="54">
        <f t="shared" si="182"/>
        <v>1200</v>
      </c>
      <c r="J242" s="54">
        <f t="shared" si="182"/>
        <v>1200</v>
      </c>
      <c r="K242" s="54">
        <f t="shared" si="182"/>
        <v>100</v>
      </c>
      <c r="L242" s="54">
        <f t="shared" si="182"/>
        <v>100</v>
      </c>
      <c r="M242" s="54">
        <f t="shared" si="182"/>
        <v>600</v>
      </c>
      <c r="N242" s="54">
        <f t="shared" si="182"/>
        <v>600</v>
      </c>
      <c r="O242" s="54">
        <f t="shared" si="182"/>
        <v>600</v>
      </c>
      <c r="P242" s="54">
        <f t="shared" si="182"/>
        <v>1200</v>
      </c>
      <c r="Q242" s="397"/>
      <c r="R242" s="49"/>
    </row>
    <row r="243" spans="2:18" hidden="1">
      <c r="B243" s="94" t="s">
        <v>533</v>
      </c>
      <c r="C243" s="183"/>
      <c r="D243" s="189"/>
      <c r="E243" s="55" t="s">
        <v>229</v>
      </c>
      <c r="F243" s="28" t="s">
        <v>329</v>
      </c>
      <c r="G243" s="414"/>
      <c r="H243" s="414"/>
      <c r="I243" s="414"/>
      <c r="J243" s="414"/>
      <c r="K243" s="414"/>
      <c r="L243" s="414"/>
      <c r="M243" s="414"/>
      <c r="N243" s="414"/>
      <c r="O243" s="414"/>
      <c r="P243" s="414"/>
      <c r="Q243" s="397"/>
      <c r="R243" s="49"/>
    </row>
    <row r="244" spans="2:18" hidden="1">
      <c r="B244" s="94" t="s">
        <v>533</v>
      </c>
      <c r="C244" s="185"/>
      <c r="D244" s="189"/>
      <c r="E244" s="49" t="s">
        <v>146</v>
      </c>
      <c r="F244" s="28" t="s">
        <v>207</v>
      </c>
      <c r="G244" s="79">
        <f>G$221*IF(G243="",G242,G243)</f>
        <v>0</v>
      </c>
      <c r="H244" s="79">
        <f t="shared" ref="H244" si="183">H$221*IF(H243="",H242,H243)</f>
        <v>0</v>
      </c>
      <c r="I244" s="79">
        <f t="shared" ref="I244" si="184">I$221*IF(I243="",I242,I243)</f>
        <v>0</v>
      </c>
      <c r="J244" s="79">
        <f t="shared" ref="J244" si="185">J$221*IF(J243="",J242,J243)</f>
        <v>0</v>
      </c>
      <c r="K244" s="79">
        <f t="shared" ref="K244" si="186">K$221*IF(K243="",K242,K243)</f>
        <v>0</v>
      </c>
      <c r="L244" s="79">
        <f t="shared" ref="L244" si="187">L$221*IF(L243="",L242,L243)</f>
        <v>0</v>
      </c>
      <c r="M244" s="79">
        <f t="shared" ref="M244" si="188">M$221*IF(M243="",M242,M243)</f>
        <v>0</v>
      </c>
      <c r="N244" s="79">
        <f t="shared" ref="N244" si="189">N$221*IF(N243="",N242,N243)</f>
        <v>0</v>
      </c>
      <c r="O244" s="79">
        <f t="shared" ref="O244" si="190">O$221*IF(O243="",O242,O243)</f>
        <v>0</v>
      </c>
      <c r="P244" s="79">
        <f t="shared" ref="P244" si="191">P$221*IF(P243="",P242,P243)</f>
        <v>0</v>
      </c>
      <c r="Q244" s="397"/>
      <c r="R244" s="49"/>
    </row>
    <row r="245" spans="2:18" ht="56.25" hidden="1">
      <c r="B245" s="94" t="s">
        <v>533</v>
      </c>
      <c r="C245" s="181" t="s">
        <v>396</v>
      </c>
      <c r="D245" s="189"/>
      <c r="E245" s="49" t="s">
        <v>357</v>
      </c>
      <c r="F245" s="28" t="s">
        <v>123</v>
      </c>
      <c r="G245" s="412" t="s">
        <v>397</v>
      </c>
      <c r="H245" s="412" t="s">
        <v>398</v>
      </c>
      <c r="I245" s="412" t="s">
        <v>399</v>
      </c>
      <c r="J245" s="412" t="s">
        <v>400</v>
      </c>
      <c r="K245" s="412" t="s">
        <v>401</v>
      </c>
      <c r="L245" s="412" t="s">
        <v>402</v>
      </c>
      <c r="M245" s="412" t="s">
        <v>671</v>
      </c>
      <c r="N245" s="412" t="s">
        <v>672</v>
      </c>
      <c r="O245" s="412" t="s">
        <v>403</v>
      </c>
      <c r="P245" s="412" t="s">
        <v>404</v>
      </c>
      <c r="Q245" s="397"/>
      <c r="R245" s="49"/>
    </row>
    <row r="246" spans="2:18" hidden="1">
      <c r="B246" s="94" t="s">
        <v>533</v>
      </c>
      <c r="C246" s="183"/>
      <c r="D246" s="189"/>
      <c r="E246" s="49" t="s">
        <v>227</v>
      </c>
      <c r="F246" s="28" t="s">
        <v>299</v>
      </c>
      <c r="G246" s="54">
        <f t="shared" ref="G246:P246" si="192">IF(G222=Arid,0,_xlfn.XLOOKUP(G245,Plant_and_seed_apply_water_names_CS,Plant_and_seed_apply_water_rates_CS))</f>
        <v>167.66666666666666</v>
      </c>
      <c r="H246" s="54">
        <f t="shared" si="192"/>
        <v>167.66666666666666</v>
      </c>
      <c r="I246" s="54">
        <f t="shared" si="192"/>
        <v>167.66666666666666</v>
      </c>
      <c r="J246" s="54">
        <f t="shared" si="192"/>
        <v>167.66666666666666</v>
      </c>
      <c r="K246" s="54">
        <f t="shared" si="192"/>
        <v>167.66666666666666</v>
      </c>
      <c r="L246" s="54">
        <f t="shared" si="192"/>
        <v>167.66666666666666</v>
      </c>
      <c r="M246" s="54">
        <f t="shared" si="192"/>
        <v>188.625</v>
      </c>
      <c r="N246" s="54">
        <f t="shared" si="192"/>
        <v>188.625</v>
      </c>
      <c r="O246" s="54">
        <f t="shared" si="192"/>
        <v>18.862500000000001</v>
      </c>
      <c r="P246" s="54">
        <f t="shared" si="192"/>
        <v>18.862500000000001</v>
      </c>
      <c r="Q246" s="397"/>
      <c r="R246" s="49"/>
    </row>
    <row r="247" spans="2:18" hidden="1">
      <c r="B247" s="94" t="s">
        <v>533</v>
      </c>
      <c r="C247" s="183"/>
      <c r="D247" s="189"/>
      <c r="E247" s="55" t="s">
        <v>229</v>
      </c>
      <c r="F247" s="28" t="s">
        <v>329</v>
      </c>
      <c r="G247" s="414"/>
      <c r="H247" s="414"/>
      <c r="I247" s="414"/>
      <c r="J247" s="414"/>
      <c r="K247" s="414"/>
      <c r="L247" s="414"/>
      <c r="M247" s="414"/>
      <c r="N247" s="414"/>
      <c r="O247" s="414"/>
      <c r="P247" s="414"/>
      <c r="Q247" s="397"/>
      <c r="R247" s="49"/>
    </row>
    <row r="248" spans="2:18" hidden="1">
      <c r="B248" s="94" t="s">
        <v>533</v>
      </c>
      <c r="C248" s="185"/>
      <c r="D248" s="190"/>
      <c r="E248" s="49" t="s">
        <v>146</v>
      </c>
      <c r="F248" s="28" t="s">
        <v>207</v>
      </c>
      <c r="G248" s="79">
        <f>G$221*IF(G247="",G246,G247)</f>
        <v>0</v>
      </c>
      <c r="H248" s="79">
        <f t="shared" ref="H248" si="193">H$221*IF(H247="",H246,H247)</f>
        <v>0</v>
      </c>
      <c r="I248" s="79">
        <f t="shared" ref="I248" si="194">I$221*IF(I247="",I246,I247)</f>
        <v>0</v>
      </c>
      <c r="J248" s="79">
        <f t="shared" ref="J248" si="195">J$221*IF(J247="",J246,J247)</f>
        <v>0</v>
      </c>
      <c r="K248" s="79">
        <f t="shared" ref="K248" si="196">K$221*IF(K247="",K246,K247)</f>
        <v>0</v>
      </c>
      <c r="L248" s="79">
        <f t="shared" ref="L248" si="197">L$221*IF(L247="",L246,L247)</f>
        <v>0</v>
      </c>
      <c r="M248" s="79">
        <f t="shared" ref="M248" si="198">M$221*IF(M247="",M246,M247)</f>
        <v>0</v>
      </c>
      <c r="N248" s="79">
        <f t="shared" ref="N248" si="199">N$221*IF(N247="",N246,N247)</f>
        <v>0</v>
      </c>
      <c r="O248" s="79">
        <f t="shared" ref="O248" si="200">O$221*IF(O247="",O246,O247)</f>
        <v>0</v>
      </c>
      <c r="P248" s="79">
        <f t="shared" ref="P248" si="201">P$221*IF(P247="",P246,P247)</f>
        <v>0</v>
      </c>
      <c r="Q248" s="397"/>
      <c r="R248" s="49"/>
    </row>
    <row r="249" spans="2:18" hidden="1">
      <c r="B249" s="94" t="s">
        <v>533</v>
      </c>
      <c r="C249" s="200"/>
      <c r="D249" s="188"/>
      <c r="E249" s="67" t="str">
        <f>C219</f>
        <v>Revegetate</v>
      </c>
      <c r="F249" s="72"/>
      <c r="G249" s="80">
        <f>G228+G232+G236+G240+G244+G248</f>
        <v>0</v>
      </c>
      <c r="H249" s="80">
        <f t="shared" ref="H249:P249" si="202">H228+H232+H236+H240+H244+H248</f>
        <v>0</v>
      </c>
      <c r="I249" s="80">
        <f t="shared" si="202"/>
        <v>0</v>
      </c>
      <c r="J249" s="80">
        <f t="shared" si="202"/>
        <v>0</v>
      </c>
      <c r="K249" s="80">
        <f t="shared" si="202"/>
        <v>0</v>
      </c>
      <c r="L249" s="80">
        <f t="shared" si="202"/>
        <v>0</v>
      </c>
      <c r="M249" s="80">
        <f t="shared" si="202"/>
        <v>0</v>
      </c>
      <c r="N249" s="80">
        <f t="shared" si="202"/>
        <v>0</v>
      </c>
      <c r="O249" s="80">
        <f t="shared" si="202"/>
        <v>0</v>
      </c>
      <c r="P249" s="80">
        <f t="shared" si="202"/>
        <v>0</v>
      </c>
      <c r="Q249" s="397"/>
      <c r="R249" s="49"/>
    </row>
    <row r="250" spans="2:18" hidden="1">
      <c r="B250" s="94" t="s">
        <v>533</v>
      </c>
      <c r="C250" s="187" t="s">
        <v>828</v>
      </c>
      <c r="D250" s="118" t="s">
        <v>705</v>
      </c>
      <c r="E250" s="49" t="s">
        <v>623</v>
      </c>
      <c r="F250" s="28" t="s">
        <v>299</v>
      </c>
      <c r="G250" s="78">
        <f t="shared" ref="G250:O250" si="203">G$25</f>
        <v>0</v>
      </c>
      <c r="H250" s="78">
        <f t="shared" si="203"/>
        <v>0</v>
      </c>
      <c r="I250" s="78">
        <f t="shared" si="203"/>
        <v>0</v>
      </c>
      <c r="J250" s="78">
        <f t="shared" si="203"/>
        <v>0</v>
      </c>
      <c r="K250" s="78">
        <f t="shared" si="203"/>
        <v>0</v>
      </c>
      <c r="L250" s="78">
        <f t="shared" si="203"/>
        <v>0</v>
      </c>
      <c r="M250" s="78">
        <f t="shared" si="203"/>
        <v>0</v>
      </c>
      <c r="N250" s="78">
        <f t="shared" si="203"/>
        <v>0</v>
      </c>
      <c r="O250" s="78">
        <f t="shared" si="203"/>
        <v>0</v>
      </c>
      <c r="P250" s="78">
        <f>P$25</f>
        <v>0</v>
      </c>
      <c r="Q250" s="397"/>
      <c r="R250" s="55"/>
    </row>
    <row r="251" spans="2:18" hidden="1">
      <c r="B251" s="94" t="s">
        <v>533</v>
      </c>
      <c r="C251" s="183"/>
      <c r="D251" s="190"/>
      <c r="E251" s="49" t="s">
        <v>624</v>
      </c>
      <c r="F251" s="28" t="s">
        <v>299</v>
      </c>
      <c r="G251" s="563"/>
      <c r="H251" s="563"/>
      <c r="I251" s="563"/>
      <c r="J251" s="563"/>
      <c r="K251" s="563"/>
      <c r="L251" s="563"/>
      <c r="M251" s="563"/>
      <c r="N251" s="563"/>
      <c r="O251" s="563"/>
      <c r="P251" s="563"/>
      <c r="Q251" s="397"/>
      <c r="R251" s="49"/>
    </row>
    <row r="252" spans="2:18" hidden="1">
      <c r="B252" s="94" t="s">
        <v>533</v>
      </c>
      <c r="C252" s="183"/>
      <c r="D252" s="118" t="s">
        <v>829</v>
      </c>
      <c r="E252" s="49" t="s">
        <v>625</v>
      </c>
      <c r="F252" s="28" t="s">
        <v>299</v>
      </c>
      <c r="G252" s="78">
        <f t="shared" ref="G252:O252" si="204">IF(G251="",G250,G251)</f>
        <v>0</v>
      </c>
      <c r="H252" s="78">
        <f t="shared" si="204"/>
        <v>0</v>
      </c>
      <c r="I252" s="78">
        <f t="shared" si="204"/>
        <v>0</v>
      </c>
      <c r="J252" s="78">
        <f t="shared" si="204"/>
        <v>0</v>
      </c>
      <c r="K252" s="78">
        <f>IF(K251="",K250,K251)</f>
        <v>0</v>
      </c>
      <c r="L252" s="78">
        <f t="shared" si="204"/>
        <v>0</v>
      </c>
      <c r="M252" s="78">
        <f t="shared" si="204"/>
        <v>0</v>
      </c>
      <c r="N252" s="78">
        <f t="shared" si="204"/>
        <v>0</v>
      </c>
      <c r="O252" s="78">
        <f t="shared" si="204"/>
        <v>0</v>
      </c>
      <c r="P252" s="78">
        <f>IF(P251="",P250,P251)</f>
        <v>0</v>
      </c>
      <c r="Q252" s="397"/>
      <c r="R252" s="55"/>
    </row>
    <row r="253" spans="2:18" hidden="1">
      <c r="B253" s="94" t="s">
        <v>533</v>
      </c>
      <c r="C253" s="183"/>
      <c r="D253" s="189"/>
      <c r="E253" s="49" t="s">
        <v>830</v>
      </c>
      <c r="F253" s="28" t="s">
        <v>831</v>
      </c>
      <c r="G253" s="78">
        <f>IF(OR(G10='Cost Schedule'!$C$867,G10='Cost Schedule'!$C$868),0,Permeability_Testing_points_frequency)</f>
        <v>0</v>
      </c>
      <c r="H253" s="78">
        <f>IF(OR(H10='Cost Schedule'!$C$867,H10='Cost Schedule'!$C$868),0,Permeability_Testing_points_frequency)</f>
        <v>0</v>
      </c>
      <c r="I253" s="78">
        <f>IF(OR(I10='Cost Schedule'!$C$867,I10='Cost Schedule'!$C$868),0,Permeability_Testing_points_frequency)</f>
        <v>0</v>
      </c>
      <c r="J253" s="78">
        <f>IF(OR(J10='Cost Schedule'!$C$867,J10='Cost Schedule'!$C$868),0,Permeability_Testing_points_frequency)</f>
        <v>0</v>
      </c>
      <c r="K253" s="78">
        <f>IF(OR(K10='Cost Schedule'!$C$867,K10='Cost Schedule'!$C$868),0,Permeability_Testing_points_frequency)</f>
        <v>0</v>
      </c>
      <c r="L253" s="78">
        <f>IF(OR(L10='Cost Schedule'!$C$867,L10='Cost Schedule'!$C$868),0,Permeability_Testing_points_frequency)</f>
        <v>1</v>
      </c>
      <c r="M253" s="78">
        <f>IF(OR(M10='Cost Schedule'!$C$867,M10='Cost Schedule'!$C$868),0,Permeability_Testing_points_frequency)</f>
        <v>0</v>
      </c>
      <c r="N253" s="78">
        <f>IF(OR(N10='Cost Schedule'!$C$867,N10='Cost Schedule'!$C$868),0,Permeability_Testing_points_frequency)</f>
        <v>0</v>
      </c>
      <c r="O253" s="78">
        <f>IF(OR(O10='Cost Schedule'!$C$867,O10='Cost Schedule'!$C$868),0,Permeability_Testing_points_frequency)</f>
        <v>1</v>
      </c>
      <c r="P253" s="78">
        <f>IF(OR(P10='Cost Schedule'!$C$867,P10='Cost Schedule'!$C$868),0,Permeability_Testing_points_frequency)</f>
        <v>1</v>
      </c>
      <c r="Q253" s="397"/>
      <c r="R253" s="49"/>
    </row>
    <row r="254" spans="2:18" hidden="1">
      <c r="B254" s="94" t="s">
        <v>533</v>
      </c>
      <c r="C254" s="183"/>
      <c r="D254" s="189"/>
      <c r="E254" s="49" t="s">
        <v>832</v>
      </c>
      <c r="F254" s="28" t="s">
        <v>199</v>
      </c>
      <c r="G254" s="78">
        <f>G253*G252</f>
        <v>0</v>
      </c>
      <c r="H254" s="78">
        <f t="shared" ref="H254:P254" si="205">H253*H252</f>
        <v>0</v>
      </c>
      <c r="I254" s="78">
        <f t="shared" si="205"/>
        <v>0</v>
      </c>
      <c r="J254" s="78">
        <f t="shared" si="205"/>
        <v>0</v>
      </c>
      <c r="K254" s="78">
        <f t="shared" si="205"/>
        <v>0</v>
      </c>
      <c r="L254" s="78">
        <f t="shared" si="205"/>
        <v>0</v>
      </c>
      <c r="M254" s="78">
        <f t="shared" si="205"/>
        <v>0</v>
      </c>
      <c r="N254" s="78">
        <f t="shared" si="205"/>
        <v>0</v>
      </c>
      <c r="O254" s="78">
        <f t="shared" si="205"/>
        <v>0</v>
      </c>
      <c r="P254" s="78">
        <f t="shared" si="205"/>
        <v>0</v>
      </c>
      <c r="Q254" s="397"/>
      <c r="R254" s="55"/>
    </row>
    <row r="255" spans="2:18" hidden="1">
      <c r="B255" s="94" t="s">
        <v>533</v>
      </c>
      <c r="C255" s="183"/>
      <c r="D255" s="189"/>
      <c r="E255" s="49" t="s">
        <v>826</v>
      </c>
      <c r="F255" s="28" t="s">
        <v>329</v>
      </c>
      <c r="G255" s="54">
        <f>'Cost Schedule'!$D$52</f>
        <v>1056.2716109999999</v>
      </c>
      <c r="H255" s="54">
        <f>'Cost Schedule'!$D$52</f>
        <v>1056.2716109999999</v>
      </c>
      <c r="I255" s="54">
        <f>'Cost Schedule'!$D$52</f>
        <v>1056.2716109999999</v>
      </c>
      <c r="J255" s="54">
        <f>'Cost Schedule'!$D$52</f>
        <v>1056.2716109999999</v>
      </c>
      <c r="K255" s="54">
        <f>'Cost Schedule'!$D$52</f>
        <v>1056.2716109999999</v>
      </c>
      <c r="L255" s="54">
        <f>'Cost Schedule'!$D$52</f>
        <v>1056.2716109999999</v>
      </c>
      <c r="M255" s="54">
        <f>'Cost Schedule'!$D$52</f>
        <v>1056.2716109999999</v>
      </c>
      <c r="N255" s="54">
        <f>'Cost Schedule'!$D$52</f>
        <v>1056.2716109999999</v>
      </c>
      <c r="O255" s="54">
        <f>'Cost Schedule'!$D$52</f>
        <v>1056.2716109999999</v>
      </c>
      <c r="P255" s="54">
        <f>'Cost Schedule'!$D$52</f>
        <v>1056.2716109999999</v>
      </c>
      <c r="Q255" s="397"/>
      <c r="R255" s="55"/>
    </row>
    <row r="256" spans="2:18" hidden="1">
      <c r="B256" s="94" t="s">
        <v>533</v>
      </c>
      <c r="C256" s="183"/>
      <c r="D256" s="189"/>
      <c r="E256" s="55" t="s">
        <v>229</v>
      </c>
      <c r="F256" s="28" t="s">
        <v>329</v>
      </c>
      <c r="G256" s="414"/>
      <c r="H256" s="414"/>
      <c r="I256" s="414"/>
      <c r="J256" s="414"/>
      <c r="K256" s="414"/>
      <c r="L256" s="414"/>
      <c r="M256" s="414"/>
      <c r="N256" s="414"/>
      <c r="O256" s="414"/>
      <c r="P256" s="415"/>
      <c r="Q256" s="397"/>
      <c r="R256" s="49"/>
    </row>
    <row r="257" spans="2:18" hidden="1">
      <c r="B257" s="94" t="s">
        <v>533</v>
      </c>
      <c r="C257" s="185"/>
      <c r="D257" s="190"/>
      <c r="E257" s="49" t="s">
        <v>146</v>
      </c>
      <c r="F257" s="28" t="s">
        <v>207</v>
      </c>
      <c r="G257" s="130">
        <f t="shared" ref="G257:P257" si="206">IF(G256="",G255,G256)*G254</f>
        <v>0</v>
      </c>
      <c r="H257" s="130">
        <f t="shared" si="206"/>
        <v>0</v>
      </c>
      <c r="I257" s="130">
        <f t="shared" si="206"/>
        <v>0</v>
      </c>
      <c r="J257" s="130">
        <f t="shared" si="206"/>
        <v>0</v>
      </c>
      <c r="K257" s="130">
        <f t="shared" si="206"/>
        <v>0</v>
      </c>
      <c r="L257" s="130">
        <f t="shared" si="206"/>
        <v>0</v>
      </c>
      <c r="M257" s="130">
        <f t="shared" si="206"/>
        <v>0</v>
      </c>
      <c r="N257" s="130">
        <f t="shared" si="206"/>
        <v>0</v>
      </c>
      <c r="O257" s="130">
        <f t="shared" si="206"/>
        <v>0</v>
      </c>
      <c r="P257" s="130">
        <f t="shared" si="206"/>
        <v>0</v>
      </c>
      <c r="Q257" s="397"/>
      <c r="R257" s="49"/>
    </row>
    <row r="258" spans="2:18" hidden="1">
      <c r="B258" s="94" t="s">
        <v>533</v>
      </c>
      <c r="C258" s="187" t="s">
        <v>833</v>
      </c>
      <c r="D258" s="118" t="s">
        <v>834</v>
      </c>
      <c r="E258" s="49" t="s">
        <v>227</v>
      </c>
      <c r="F258" s="28" t="s">
        <v>329</v>
      </c>
      <c r="G258" s="54">
        <f>IF(OR(G23='Cost Schedule'!$C$867,G23='Cost Schedule'!$C$868),0,IF(G$23=High_risk_cap,'Cost Schedule'!$D$66,IF(G23=Medium_risk_cap,'Cost Schedule'!$D$65,IF(G23=Low_risk_cap,'Cost Schedule'!$D$64,IF(G23=Very_Low_risk_cap,'Cost Schedule'!$D$63,"E")))))</f>
        <v>2600</v>
      </c>
      <c r="H258" s="54">
        <f>IF(OR(H23='Cost Schedule'!$C$867,H23='Cost Schedule'!$C$868),0,IF(H$23=High_risk_cap,'Cost Schedule'!$D$66,IF(H23=Medium_risk_cap,'Cost Schedule'!$D$65,IF(H23=Low_risk_cap,'Cost Schedule'!$D$64,IF(H23=Very_Low_risk_cap,'Cost Schedule'!$D$63,"E")))))</f>
        <v>1625</v>
      </c>
      <c r="I258" s="54">
        <f>IF(OR(I23='Cost Schedule'!$C$867,I23='Cost Schedule'!$C$868),0,IF(I$23=High_risk_cap,'Cost Schedule'!$D$66,IF(I23=Medium_risk_cap,'Cost Schedule'!$D$65,IF(I23=Low_risk_cap,'Cost Schedule'!$D$64,IF(I23=Very_Low_risk_cap,'Cost Schedule'!$D$63,"E")))))</f>
        <v>1500</v>
      </c>
      <c r="J258" s="54">
        <f>IF(OR(J23='Cost Schedule'!$C$867,J23='Cost Schedule'!$C$868),0,IF(J$23=High_risk_cap,'Cost Schedule'!$D$66,IF(J23=Medium_risk_cap,'Cost Schedule'!$D$65,IF(J23=Low_risk_cap,'Cost Schedule'!$D$64,IF(J23=Very_Low_risk_cap,'Cost Schedule'!$D$63,"E")))))</f>
        <v>550</v>
      </c>
      <c r="K258" s="54">
        <f>IF(OR(K23='Cost Schedule'!$C$867,K23='Cost Schedule'!$C$868),0,IF(K$23=High_risk_cap,'Cost Schedule'!$D$66,IF(K23=Medium_risk_cap,'Cost Schedule'!$D$65,IF(K23=Low_risk_cap,'Cost Schedule'!$D$64,IF(K23=Very_Low_risk_cap,'Cost Schedule'!$D$63,"E")))))</f>
        <v>0</v>
      </c>
      <c r="L258" s="54">
        <f>IF(OR(L23='Cost Schedule'!$C$867,L23='Cost Schedule'!$C$868),0,IF(L$23=High_risk_cap,'Cost Schedule'!$D$66,IF(L23=Medium_risk_cap,'Cost Schedule'!$D$65,IF(L23=Low_risk_cap,'Cost Schedule'!$D$64,IF(L23=Very_Low_risk_cap,'Cost Schedule'!$D$63,"E")))))</f>
        <v>0</v>
      </c>
      <c r="M258" s="54">
        <f>IF(OR(M23='Cost Schedule'!$C$867,M23='Cost Schedule'!$C$868),0,IF(M$23=High_risk_cap,'Cost Schedule'!$D$66,IF(M23=Medium_risk_cap,'Cost Schedule'!$D$65,IF(M23=Low_risk_cap,'Cost Schedule'!$D$64,IF(M23=Very_Low_risk_cap,'Cost Schedule'!$D$63,"E")))))</f>
        <v>1625</v>
      </c>
      <c r="N258" s="54">
        <f>IF(OR(N23='Cost Schedule'!$C$867,N23='Cost Schedule'!$C$868),0,IF(N$23=High_risk_cap,'Cost Schedule'!$D$66,IF(N23=Medium_risk_cap,'Cost Schedule'!$D$65,IF(N23=Low_risk_cap,'Cost Schedule'!$D$64,IF(N23=Very_Low_risk_cap,'Cost Schedule'!$D$63,"E")))))</f>
        <v>1625</v>
      </c>
      <c r="O258" s="54">
        <f>IF(OR(O23='Cost Schedule'!$C$867,O23='Cost Schedule'!$C$868),0,IF(O$23=High_risk_cap,'Cost Schedule'!$D$66,IF(O23=Medium_risk_cap,'Cost Schedule'!$D$65,IF(O23=Low_risk_cap,'Cost Schedule'!$D$64,IF(O23=Very_Low_risk_cap,'Cost Schedule'!$D$63,"E")))))</f>
        <v>1625</v>
      </c>
      <c r="P258" s="54">
        <f>IF(OR(P23='Cost Schedule'!$C$867,P23='Cost Schedule'!$C$868),0,IF(P$23=High_risk_cap,'Cost Schedule'!$D$66,IF(P23=Medium_risk_cap,'Cost Schedule'!$D$65,IF(P23=Low_risk_cap,'Cost Schedule'!$D$64,IF(P23=Very_Low_risk_cap,'Cost Schedule'!$D$63,"E")))))</f>
        <v>1625</v>
      </c>
      <c r="Q258" s="397"/>
      <c r="R258" s="55"/>
    </row>
    <row r="259" spans="2:18" hidden="1">
      <c r="B259" s="94" t="s">
        <v>533</v>
      </c>
      <c r="C259" s="183"/>
      <c r="D259" s="189"/>
      <c r="E259" s="55" t="s">
        <v>229</v>
      </c>
      <c r="F259" s="28" t="s">
        <v>329</v>
      </c>
      <c r="G259" s="414"/>
      <c r="H259" s="414"/>
      <c r="I259" s="414"/>
      <c r="J259" s="414"/>
      <c r="K259" s="414"/>
      <c r="L259" s="414"/>
      <c r="M259" s="414"/>
      <c r="N259" s="414"/>
      <c r="O259" s="414"/>
      <c r="P259" s="414"/>
      <c r="Q259" s="397"/>
      <c r="R259" s="49"/>
    </row>
    <row r="260" spans="2:18" hidden="1">
      <c r="B260" s="94" t="s">
        <v>533</v>
      </c>
      <c r="C260" s="185"/>
      <c r="D260" s="190"/>
      <c r="E260" s="49" t="s">
        <v>833</v>
      </c>
      <c r="F260" s="28" t="s">
        <v>207</v>
      </c>
      <c r="G260" s="126">
        <f t="shared" ref="G260:P260" si="207">IF(G259="",G258,G259)*G252</f>
        <v>0</v>
      </c>
      <c r="H260" s="126">
        <f t="shared" si="207"/>
        <v>0</v>
      </c>
      <c r="I260" s="126">
        <f t="shared" si="207"/>
        <v>0</v>
      </c>
      <c r="J260" s="126">
        <f t="shared" si="207"/>
        <v>0</v>
      </c>
      <c r="K260" s="126">
        <f t="shared" si="207"/>
        <v>0</v>
      </c>
      <c r="L260" s="126">
        <f t="shared" si="207"/>
        <v>0</v>
      </c>
      <c r="M260" s="126">
        <f t="shared" si="207"/>
        <v>0</v>
      </c>
      <c r="N260" s="126">
        <f t="shared" si="207"/>
        <v>0</v>
      </c>
      <c r="O260" s="126">
        <f t="shared" si="207"/>
        <v>0</v>
      </c>
      <c r="P260" s="126">
        <f t="shared" si="207"/>
        <v>0</v>
      </c>
      <c r="Q260" s="397"/>
      <c r="R260" s="49"/>
    </row>
    <row r="261" spans="2:18" ht="12" hidden="1" thickBot="1">
      <c r="B261" s="94" t="s">
        <v>533</v>
      </c>
      <c r="C261" s="200"/>
      <c r="D261" s="188"/>
      <c r="E261" s="67" t="str">
        <f>CONCATENATE(C250," and ",C258)</f>
        <v>Permeability testing and Engineering</v>
      </c>
      <c r="F261" s="72"/>
      <c r="G261" s="64">
        <f t="shared" ref="G261:P261" si="208">G260+G257</f>
        <v>0</v>
      </c>
      <c r="H261" s="64">
        <f t="shared" si="208"/>
        <v>0</v>
      </c>
      <c r="I261" s="64">
        <f t="shared" si="208"/>
        <v>0</v>
      </c>
      <c r="J261" s="64">
        <f t="shared" si="208"/>
        <v>0</v>
      </c>
      <c r="K261" s="64">
        <f t="shared" si="208"/>
        <v>0</v>
      </c>
      <c r="L261" s="64">
        <f t="shared" si="208"/>
        <v>0</v>
      </c>
      <c r="M261" s="64">
        <f t="shared" si="208"/>
        <v>0</v>
      </c>
      <c r="N261" s="64">
        <f t="shared" si="208"/>
        <v>0</v>
      </c>
      <c r="O261" s="64">
        <f t="shared" si="208"/>
        <v>0</v>
      </c>
      <c r="P261" s="64">
        <f t="shared" si="208"/>
        <v>0</v>
      </c>
      <c r="Q261" s="397"/>
      <c r="R261" s="49"/>
    </row>
    <row r="262" spans="2:18" ht="67.5" hidden="1">
      <c r="B262" s="94" t="s">
        <v>533</v>
      </c>
      <c r="C262" s="156" t="s">
        <v>888</v>
      </c>
      <c r="D262" s="192"/>
      <c r="E262" s="48" t="s">
        <v>55</v>
      </c>
      <c r="F262" s="28" t="s">
        <v>123</v>
      </c>
      <c r="G262" s="462" t="s">
        <v>889</v>
      </c>
      <c r="H262" s="462" t="s">
        <v>742</v>
      </c>
      <c r="I262" s="462" t="s">
        <v>743</v>
      </c>
      <c r="J262" s="462" t="s">
        <v>536</v>
      </c>
      <c r="K262" s="462" t="s">
        <v>537</v>
      </c>
      <c r="L262" s="462" t="s">
        <v>538</v>
      </c>
      <c r="M262" s="462" t="s">
        <v>535</v>
      </c>
      <c r="N262" s="462" t="s">
        <v>535</v>
      </c>
      <c r="O262" s="462" t="s">
        <v>535</v>
      </c>
      <c r="P262" s="462" t="s">
        <v>535</v>
      </c>
      <c r="Q262" s="397"/>
      <c r="R262" s="49"/>
    </row>
    <row r="263" spans="2:18" hidden="1">
      <c r="B263" s="94" t="s">
        <v>533</v>
      </c>
      <c r="C263" s="193"/>
      <c r="D263" s="194"/>
      <c r="E263" s="48" t="s">
        <v>214</v>
      </c>
      <c r="F263" s="28" t="s">
        <v>299</v>
      </c>
      <c r="G263" s="455"/>
      <c r="H263" s="455"/>
      <c r="I263" s="455"/>
      <c r="J263" s="455"/>
      <c r="K263" s="455"/>
      <c r="L263" s="455"/>
      <c r="M263" s="455"/>
      <c r="N263" s="455"/>
      <c r="O263" s="455"/>
      <c r="P263" s="455"/>
      <c r="Q263" s="397"/>
      <c r="R263" s="49"/>
    </row>
    <row r="264" spans="2:18" hidden="1">
      <c r="B264" s="94" t="s">
        <v>533</v>
      </c>
      <c r="C264" s="193"/>
      <c r="D264" s="194"/>
      <c r="E264" s="48" t="s">
        <v>204</v>
      </c>
      <c r="F264" s="28" t="s">
        <v>329</v>
      </c>
      <c r="G264" s="92">
        <f t="shared" ref="G264:P264" si="209">_xlfn.XLOOKUP(G262,Maintenance_rehab_areas_names_CS,Maintenance_rehab_areas_rates_CS)</f>
        <v>156.38726940000001</v>
      </c>
      <c r="H264" s="92">
        <f t="shared" si="209"/>
        <v>473.09634541637763</v>
      </c>
      <c r="I264" s="92">
        <f t="shared" si="209"/>
        <v>1266.6334079070016</v>
      </c>
      <c r="J264" s="92">
        <f t="shared" si="209"/>
        <v>1978.1198943934883</v>
      </c>
      <c r="K264" s="92">
        <f t="shared" si="209"/>
        <v>3401.0928673664612</v>
      </c>
      <c r="L264" s="92">
        <f t="shared" si="209"/>
        <v>27579.416003948303</v>
      </c>
      <c r="M264" s="92">
        <f t="shared" si="209"/>
        <v>1047.9768316769243</v>
      </c>
      <c r="N264" s="92">
        <f t="shared" si="209"/>
        <v>1047.9768316769243</v>
      </c>
      <c r="O264" s="92">
        <f t="shared" si="209"/>
        <v>1047.9768316769243</v>
      </c>
      <c r="P264" s="92">
        <f t="shared" si="209"/>
        <v>1047.9768316769243</v>
      </c>
      <c r="Q264" s="397"/>
      <c r="R264" s="49"/>
    </row>
    <row r="265" spans="2:18" hidden="1">
      <c r="B265" s="94" t="s">
        <v>533</v>
      </c>
      <c r="C265" s="193"/>
      <c r="D265" s="194"/>
      <c r="E265" s="48" t="s">
        <v>206</v>
      </c>
      <c r="F265" s="28" t="s">
        <v>329</v>
      </c>
      <c r="G265" s="414"/>
      <c r="H265" s="414"/>
      <c r="I265" s="414"/>
      <c r="J265" s="414"/>
      <c r="K265" s="414"/>
      <c r="L265" s="414"/>
      <c r="M265" s="414"/>
      <c r="N265" s="414"/>
      <c r="O265" s="414"/>
      <c r="P265" s="414"/>
      <c r="Q265" s="397"/>
      <c r="R265" s="49"/>
    </row>
    <row r="266" spans="2:18" hidden="1">
      <c r="B266" s="94" t="s">
        <v>533</v>
      </c>
      <c r="C266" s="195"/>
      <c r="D266" s="196"/>
      <c r="E266" s="48" t="s">
        <v>146</v>
      </c>
      <c r="F266" s="28" t="s">
        <v>207</v>
      </c>
      <c r="G266" s="73">
        <f t="shared" ref="G266:P266" si="210">G263*IF(G265="",G264,G265)</f>
        <v>0</v>
      </c>
      <c r="H266" s="73">
        <f t="shared" si="210"/>
        <v>0</v>
      </c>
      <c r="I266" s="73">
        <f t="shared" si="210"/>
        <v>0</v>
      </c>
      <c r="J266" s="73">
        <f t="shared" si="210"/>
        <v>0</v>
      </c>
      <c r="K266" s="73">
        <f t="shared" si="210"/>
        <v>0</v>
      </c>
      <c r="L266" s="73">
        <f t="shared" si="210"/>
        <v>0</v>
      </c>
      <c r="M266" s="73">
        <f t="shared" si="210"/>
        <v>0</v>
      </c>
      <c r="N266" s="73">
        <f t="shared" si="210"/>
        <v>0</v>
      </c>
      <c r="O266" s="73">
        <f t="shared" si="210"/>
        <v>0</v>
      </c>
      <c r="P266" s="73">
        <f t="shared" si="210"/>
        <v>0</v>
      </c>
      <c r="Q266" s="397"/>
      <c r="R266" s="49"/>
    </row>
    <row r="267" spans="2:18" hidden="1">
      <c r="B267" s="94" t="s">
        <v>533</v>
      </c>
      <c r="C267" s="197"/>
      <c r="D267" s="198"/>
      <c r="E267" s="96" t="str">
        <f>C262</f>
        <v>Maintain rehabilitated areas and repairs</v>
      </c>
      <c r="F267" s="61"/>
      <c r="G267" s="97">
        <f>G266</f>
        <v>0</v>
      </c>
      <c r="H267" s="97">
        <f t="shared" ref="H267:P267" si="211">H266</f>
        <v>0</v>
      </c>
      <c r="I267" s="97">
        <f t="shared" si="211"/>
        <v>0</v>
      </c>
      <c r="J267" s="97">
        <f t="shared" si="211"/>
        <v>0</v>
      </c>
      <c r="K267" s="97">
        <f t="shared" si="211"/>
        <v>0</v>
      </c>
      <c r="L267" s="97">
        <f t="shared" si="211"/>
        <v>0</v>
      </c>
      <c r="M267" s="97">
        <f t="shared" si="211"/>
        <v>0</v>
      </c>
      <c r="N267" s="97">
        <f t="shared" si="211"/>
        <v>0</v>
      </c>
      <c r="O267" s="97">
        <f t="shared" si="211"/>
        <v>0</v>
      </c>
      <c r="P267" s="97">
        <f t="shared" si="211"/>
        <v>0</v>
      </c>
      <c r="Q267" s="397"/>
      <c r="R267" s="49"/>
    </row>
    <row r="268" spans="2:18" hidden="1">
      <c r="B268" s="94" t="s">
        <v>533</v>
      </c>
      <c r="C268" s="187" t="s">
        <v>589</v>
      </c>
      <c r="D268" s="192" t="s">
        <v>749</v>
      </c>
      <c r="E268" s="49" t="s">
        <v>591</v>
      </c>
      <c r="F268" s="28" t="s">
        <v>219</v>
      </c>
      <c r="G268" s="455"/>
      <c r="H268" s="455"/>
      <c r="I268" s="455"/>
      <c r="J268" s="455"/>
      <c r="K268" s="455"/>
      <c r="L268" s="455"/>
      <c r="M268" s="455"/>
      <c r="N268" s="455"/>
      <c r="O268" s="455"/>
      <c r="P268" s="455"/>
      <c r="Q268" s="397"/>
      <c r="R268" s="49"/>
    </row>
    <row r="269" spans="2:18" hidden="1">
      <c r="B269" s="94" t="s">
        <v>533</v>
      </c>
      <c r="C269" s="183"/>
      <c r="D269" s="194"/>
      <c r="E269" s="49" t="s">
        <v>204</v>
      </c>
      <c r="F269" s="28" t="s">
        <v>352</v>
      </c>
      <c r="G269" s="54">
        <f>IF(G268=0,0,IF(G268&lt;=Biopile_minimum_volume_for_lump_sum_cost,'Cost Schedule'!$D$86,'Cost Schedule'!$D$87))</f>
        <v>0</v>
      </c>
      <c r="H269" s="54">
        <f>IF(H268=0,0,IF(H268&lt;=Biopile_minimum_volume_for_lump_sum_cost,'Cost Schedule'!$D$86,'Cost Schedule'!$D$87))</f>
        <v>0</v>
      </c>
      <c r="I269" s="54">
        <f>IF(I268=0,0,IF(I268&lt;=Biopile_minimum_volume_for_lump_sum_cost,'Cost Schedule'!$D$86,'Cost Schedule'!$D$87))</f>
        <v>0</v>
      </c>
      <c r="J269" s="54">
        <f>IF(J268=0,0,IF(J268&lt;=Biopile_minimum_volume_for_lump_sum_cost,'Cost Schedule'!$D$86,'Cost Schedule'!$D$87))</f>
        <v>0</v>
      </c>
      <c r="K269" s="54">
        <f>IF(K268=0,0,IF(K268&lt;=Biopile_minimum_volume_for_lump_sum_cost,'Cost Schedule'!$D$86,'Cost Schedule'!$D$87))</f>
        <v>0</v>
      </c>
      <c r="L269" s="54">
        <f>IF(L268=0,0,IF(L268&lt;=Biopile_minimum_volume_for_lump_sum_cost,'Cost Schedule'!$D$86,'Cost Schedule'!$D$87))</f>
        <v>0</v>
      </c>
      <c r="M269" s="54">
        <f>IF(M268=0,0,IF(M268&lt;=Biopile_minimum_volume_for_lump_sum_cost,'Cost Schedule'!$D$86,'Cost Schedule'!$D$87))</f>
        <v>0</v>
      </c>
      <c r="N269" s="54">
        <f>IF(N268=0,0,IF(N268&lt;=Biopile_minimum_volume_for_lump_sum_cost,'Cost Schedule'!$D$86,'Cost Schedule'!$D$87))</f>
        <v>0</v>
      </c>
      <c r="O269" s="54">
        <f>IF(O268=0,0,IF(O268&lt;=Biopile_minimum_volume_for_lump_sum_cost,'Cost Schedule'!$D$86,'Cost Schedule'!$D$87))</f>
        <v>0</v>
      </c>
      <c r="P269" s="54">
        <f>IF(P268=0,0,IF(P268&lt;=Biopile_minimum_volume_for_lump_sum_cost,'Cost Schedule'!$D$86,'Cost Schedule'!$D$87))</f>
        <v>0</v>
      </c>
      <c r="Q269" s="397"/>
      <c r="R269" s="49"/>
    </row>
    <row r="270" spans="2:18" hidden="1">
      <c r="B270" s="94" t="s">
        <v>533</v>
      </c>
      <c r="C270" s="183"/>
      <c r="D270" s="194"/>
      <c r="E270" s="49" t="s">
        <v>592</v>
      </c>
      <c r="F270" s="28" t="s">
        <v>592</v>
      </c>
      <c r="G270" s="101" t="str">
        <f t="shared" ref="G270:P270" si="212">IF(G268&lt;=Biopile_minimum_volume_for_lump_sum_cost,"$","$/m3")</f>
        <v>$</v>
      </c>
      <c r="H270" s="101" t="str">
        <f t="shared" si="212"/>
        <v>$</v>
      </c>
      <c r="I270" s="101" t="str">
        <f t="shared" si="212"/>
        <v>$</v>
      </c>
      <c r="J270" s="101" t="str">
        <f t="shared" si="212"/>
        <v>$</v>
      </c>
      <c r="K270" s="101" t="str">
        <f t="shared" si="212"/>
        <v>$</v>
      </c>
      <c r="L270" s="101" t="str">
        <f t="shared" si="212"/>
        <v>$</v>
      </c>
      <c r="M270" s="101" t="str">
        <f t="shared" si="212"/>
        <v>$</v>
      </c>
      <c r="N270" s="101" t="str">
        <f t="shared" si="212"/>
        <v>$</v>
      </c>
      <c r="O270" s="101" t="str">
        <f t="shared" si="212"/>
        <v>$</v>
      </c>
      <c r="P270" s="101" t="str">
        <f t="shared" si="212"/>
        <v>$</v>
      </c>
      <c r="Q270" s="397"/>
      <c r="R270" s="49"/>
    </row>
    <row r="271" spans="2:18" hidden="1">
      <c r="B271" s="94" t="s">
        <v>533</v>
      </c>
      <c r="C271" s="183"/>
      <c r="D271" s="194"/>
      <c r="E271" s="49" t="s">
        <v>229</v>
      </c>
      <c r="F271" s="28" t="s">
        <v>593</v>
      </c>
      <c r="G271" s="414"/>
      <c r="H271" s="414"/>
      <c r="I271" s="414"/>
      <c r="J271" s="414"/>
      <c r="K271" s="414"/>
      <c r="L271" s="414"/>
      <c r="M271" s="414"/>
      <c r="N271" s="414"/>
      <c r="O271" s="414"/>
      <c r="P271" s="414"/>
      <c r="Q271" s="397"/>
      <c r="R271" s="49"/>
    </row>
    <row r="272" spans="2:18" hidden="1">
      <c r="B272" s="94" t="s">
        <v>533</v>
      </c>
      <c r="C272" s="183"/>
      <c r="D272" s="194"/>
      <c r="E272" s="49" t="s">
        <v>146</v>
      </c>
      <c r="F272" s="28" t="s">
        <v>207</v>
      </c>
      <c r="G272" s="130">
        <f t="shared" ref="G272:P272" si="213">IF(AND(G268&lt;=Biopile_minimum_volume_for_lump_sum_cost,G271=""),G269,IF(AND(G268&lt;=Biopile_minimum_volume_for_lump_sum_cost,G271&lt;&gt;""),G271,G268*IF(G271="",G269,G271)))</f>
        <v>0</v>
      </c>
      <c r="H272" s="130">
        <f t="shared" si="213"/>
        <v>0</v>
      </c>
      <c r="I272" s="130">
        <f t="shared" si="213"/>
        <v>0</v>
      </c>
      <c r="J272" s="130">
        <f t="shared" si="213"/>
        <v>0</v>
      </c>
      <c r="K272" s="130">
        <f t="shared" si="213"/>
        <v>0</v>
      </c>
      <c r="L272" s="130">
        <f t="shared" si="213"/>
        <v>0</v>
      </c>
      <c r="M272" s="130">
        <f t="shared" si="213"/>
        <v>0</v>
      </c>
      <c r="N272" s="130">
        <f t="shared" si="213"/>
        <v>0</v>
      </c>
      <c r="O272" s="130">
        <f t="shared" si="213"/>
        <v>0</v>
      </c>
      <c r="P272" s="130">
        <f t="shared" si="213"/>
        <v>0</v>
      </c>
      <c r="Q272" s="397"/>
      <c r="R272" s="49"/>
    </row>
    <row r="273" spans="2:18" ht="33.75" hidden="1">
      <c r="B273" s="94" t="s">
        <v>533</v>
      </c>
      <c r="C273" s="181" t="s">
        <v>589</v>
      </c>
      <c r="D273" s="192" t="s">
        <v>594</v>
      </c>
      <c r="E273" s="49" t="s">
        <v>311</v>
      </c>
      <c r="F273" s="28" t="s">
        <v>123</v>
      </c>
      <c r="G273" s="503" t="s">
        <v>596</v>
      </c>
      <c r="H273" s="503" t="s">
        <v>596</v>
      </c>
      <c r="I273" s="503" t="s">
        <v>595</v>
      </c>
      <c r="J273" s="503" t="s">
        <v>595</v>
      </c>
      <c r="K273" s="503" t="s">
        <v>595</v>
      </c>
      <c r="L273" s="503" t="s">
        <v>595</v>
      </c>
      <c r="M273" s="503" t="s">
        <v>595</v>
      </c>
      <c r="N273" s="503" t="s">
        <v>595</v>
      </c>
      <c r="O273" s="503" t="s">
        <v>595</v>
      </c>
      <c r="P273" s="503" t="s">
        <v>595</v>
      </c>
      <c r="Q273" s="397"/>
      <c r="R273" s="49"/>
    </row>
    <row r="274" spans="2:18" hidden="1">
      <c r="B274" s="94" t="s">
        <v>533</v>
      </c>
      <c r="C274" s="183"/>
      <c r="D274" s="194"/>
      <c r="E274" s="49" t="s">
        <v>355</v>
      </c>
      <c r="F274" s="28" t="s">
        <v>1026</v>
      </c>
      <c r="G274" s="455"/>
      <c r="H274" s="455"/>
      <c r="I274" s="455"/>
      <c r="J274" s="455"/>
      <c r="K274" s="455"/>
      <c r="L274" s="455"/>
      <c r="M274" s="455"/>
      <c r="N274" s="455"/>
      <c r="O274" s="455"/>
      <c r="P274" s="455"/>
      <c r="Q274" s="397"/>
      <c r="R274" s="49"/>
    </row>
    <row r="275" spans="2:18" hidden="1">
      <c r="B275" s="94" t="s">
        <v>533</v>
      </c>
      <c r="C275" s="183"/>
      <c r="D275" s="194"/>
      <c r="E275" s="49" t="s">
        <v>353</v>
      </c>
      <c r="G275" s="78" t="str">
        <f t="shared" ref="G275:P275" si="214">_xlfn.XLOOKUP(G273,Contaminated_soil_names_CS,Contaminated_soil_units_CS)</f>
        <v>t</v>
      </c>
      <c r="H275" s="78" t="str">
        <f t="shared" si="214"/>
        <v>t</v>
      </c>
      <c r="I275" s="78" t="str">
        <f t="shared" si="214"/>
        <v>m3</v>
      </c>
      <c r="J275" s="78" t="str">
        <f t="shared" si="214"/>
        <v>m3</v>
      </c>
      <c r="K275" s="78" t="str">
        <f t="shared" si="214"/>
        <v>m3</v>
      </c>
      <c r="L275" s="78" t="str">
        <f t="shared" si="214"/>
        <v>m3</v>
      </c>
      <c r="M275" s="78" t="str">
        <f t="shared" si="214"/>
        <v>m3</v>
      </c>
      <c r="N275" s="78" t="str">
        <f t="shared" si="214"/>
        <v>m3</v>
      </c>
      <c r="O275" s="78" t="str">
        <f t="shared" si="214"/>
        <v>m3</v>
      </c>
      <c r="P275" s="78" t="str">
        <f t="shared" si="214"/>
        <v>m3</v>
      </c>
      <c r="Q275" s="397"/>
      <c r="R275" s="49"/>
    </row>
    <row r="276" spans="2:18" hidden="1">
      <c r="B276" s="94" t="s">
        <v>533</v>
      </c>
      <c r="C276" s="183"/>
      <c r="D276" s="194"/>
      <c r="E276" s="49" t="s">
        <v>227</v>
      </c>
      <c r="F276" s="28" t="s">
        <v>352</v>
      </c>
      <c r="G276" s="54">
        <f t="shared" ref="G276:P276" si="215">_xlfn.XLOOKUP(G273,Contaminated_soil_names_CS,Contaminated_soil_rates_CS)</f>
        <v>400</v>
      </c>
      <c r="H276" s="54">
        <f t="shared" si="215"/>
        <v>400</v>
      </c>
      <c r="I276" s="54">
        <f t="shared" si="215"/>
        <v>34.320540423513727</v>
      </c>
      <c r="J276" s="54">
        <f t="shared" si="215"/>
        <v>34.320540423513727</v>
      </c>
      <c r="K276" s="54">
        <f t="shared" si="215"/>
        <v>34.320540423513727</v>
      </c>
      <c r="L276" s="54">
        <f t="shared" si="215"/>
        <v>34.320540423513727</v>
      </c>
      <c r="M276" s="54">
        <f t="shared" si="215"/>
        <v>34.320540423513727</v>
      </c>
      <c r="N276" s="54">
        <f t="shared" si="215"/>
        <v>34.320540423513727</v>
      </c>
      <c r="O276" s="54">
        <f t="shared" si="215"/>
        <v>34.320540423513727</v>
      </c>
      <c r="P276" s="54">
        <f t="shared" si="215"/>
        <v>34.320540423513727</v>
      </c>
      <c r="Q276" s="397"/>
      <c r="R276" s="49"/>
    </row>
    <row r="277" spans="2:18" hidden="1">
      <c r="B277" s="94" t="s">
        <v>533</v>
      </c>
      <c r="C277" s="183"/>
      <c r="D277" s="194"/>
      <c r="E277" s="49" t="s">
        <v>229</v>
      </c>
      <c r="F277" s="28" t="s">
        <v>352</v>
      </c>
      <c r="G277" s="414"/>
      <c r="H277" s="414"/>
      <c r="I277" s="414"/>
      <c r="J277" s="414"/>
      <c r="K277" s="414"/>
      <c r="L277" s="414"/>
      <c r="M277" s="414"/>
      <c r="N277" s="414"/>
      <c r="O277" s="414"/>
      <c r="P277" s="414"/>
      <c r="Q277" s="397"/>
      <c r="R277" s="49"/>
    </row>
    <row r="278" spans="2:18" hidden="1">
      <c r="B278" s="94" t="s">
        <v>533</v>
      </c>
      <c r="C278" s="185"/>
      <c r="D278" s="196"/>
      <c r="E278" s="49" t="s">
        <v>146</v>
      </c>
      <c r="F278" s="28" t="s">
        <v>207</v>
      </c>
      <c r="G278" s="126">
        <f t="shared" ref="G278:P278" si="216">IF(G277="",G276,G277)*G274</f>
        <v>0</v>
      </c>
      <c r="H278" s="126">
        <f t="shared" si="216"/>
        <v>0</v>
      </c>
      <c r="I278" s="126">
        <f t="shared" si="216"/>
        <v>0</v>
      </c>
      <c r="J278" s="126">
        <f t="shared" si="216"/>
        <v>0</v>
      </c>
      <c r="K278" s="126">
        <f t="shared" si="216"/>
        <v>0</v>
      </c>
      <c r="L278" s="126">
        <f t="shared" si="216"/>
        <v>0</v>
      </c>
      <c r="M278" s="126">
        <f t="shared" si="216"/>
        <v>0</v>
      </c>
      <c r="N278" s="126">
        <f t="shared" si="216"/>
        <v>0</v>
      </c>
      <c r="O278" s="126">
        <f t="shared" si="216"/>
        <v>0</v>
      </c>
      <c r="P278" s="126">
        <f t="shared" si="216"/>
        <v>0</v>
      </c>
      <c r="Q278" s="397"/>
      <c r="R278" s="49"/>
    </row>
    <row r="279" spans="2:18" ht="33.75" hidden="1">
      <c r="B279" s="94" t="s">
        <v>533</v>
      </c>
      <c r="C279" s="181" t="s">
        <v>1027</v>
      </c>
      <c r="D279" s="192" t="s">
        <v>1028</v>
      </c>
      <c r="E279" s="49" t="s">
        <v>311</v>
      </c>
      <c r="F279" s="28" t="s">
        <v>123</v>
      </c>
      <c r="G279" s="503" t="s">
        <v>1029</v>
      </c>
      <c r="H279" s="503" t="s">
        <v>599</v>
      </c>
      <c r="I279" s="503" t="s">
        <v>599</v>
      </c>
      <c r="J279" s="503" t="s">
        <v>599</v>
      </c>
      <c r="K279" s="503" t="s">
        <v>599</v>
      </c>
      <c r="L279" s="503" t="s">
        <v>599</v>
      </c>
      <c r="M279" s="503" t="s">
        <v>599</v>
      </c>
      <c r="N279" s="503" t="s">
        <v>599</v>
      </c>
      <c r="O279" s="503" t="s">
        <v>599</v>
      </c>
      <c r="P279" s="503" t="s">
        <v>599</v>
      </c>
      <c r="Q279" s="397"/>
      <c r="R279" s="49" t="s">
        <v>600</v>
      </c>
    </row>
    <row r="280" spans="2:18" hidden="1">
      <c r="B280" s="94" t="s">
        <v>533</v>
      </c>
      <c r="C280" s="183"/>
      <c r="D280" s="194"/>
      <c r="E280" s="49" t="s">
        <v>355</v>
      </c>
      <c r="F280" s="28" t="s">
        <v>219</v>
      </c>
      <c r="G280" s="455"/>
      <c r="H280" s="455"/>
      <c r="I280" s="455"/>
      <c r="J280" s="455"/>
      <c r="K280" s="455"/>
      <c r="L280" s="455"/>
      <c r="M280" s="455"/>
      <c r="N280" s="455"/>
      <c r="O280" s="455"/>
      <c r="P280" s="455"/>
      <c r="Q280" s="397"/>
      <c r="R280" s="49"/>
    </row>
    <row r="281" spans="2:18" hidden="1">
      <c r="B281" s="94" t="s">
        <v>533</v>
      </c>
      <c r="C281" s="183"/>
      <c r="D281" s="194"/>
      <c r="E281" s="49" t="s">
        <v>227</v>
      </c>
      <c r="F281" s="28" t="s">
        <v>352</v>
      </c>
      <c r="G281" s="54">
        <f t="shared" ref="G281:P281" si="217">_xlfn.XLOOKUP(G279,Load_haul_stabilised_names_CS,Load_haul_stabilised_rates_CS)</f>
        <v>4.7790031332219423</v>
      </c>
      <c r="H281" s="54">
        <f t="shared" si="217"/>
        <v>3.6305227410650791</v>
      </c>
      <c r="I281" s="54">
        <f t="shared" si="217"/>
        <v>3.6305227410650791</v>
      </c>
      <c r="J281" s="54">
        <f t="shared" si="217"/>
        <v>3.6305227410650791</v>
      </c>
      <c r="K281" s="54">
        <f t="shared" si="217"/>
        <v>3.6305227410650791</v>
      </c>
      <c r="L281" s="54">
        <f t="shared" si="217"/>
        <v>3.6305227410650791</v>
      </c>
      <c r="M281" s="54">
        <f t="shared" si="217"/>
        <v>3.6305227410650791</v>
      </c>
      <c r="N281" s="54">
        <f t="shared" si="217"/>
        <v>3.6305227410650791</v>
      </c>
      <c r="O281" s="54">
        <f t="shared" si="217"/>
        <v>3.6305227410650791</v>
      </c>
      <c r="P281" s="54">
        <f t="shared" si="217"/>
        <v>3.6305227410650791</v>
      </c>
      <c r="Q281" s="397"/>
      <c r="R281" s="49"/>
    </row>
    <row r="282" spans="2:18" hidden="1">
      <c r="B282" s="94" t="s">
        <v>533</v>
      </c>
      <c r="C282" s="183"/>
      <c r="D282" s="194"/>
      <c r="E282" s="49" t="s">
        <v>229</v>
      </c>
      <c r="F282" s="28" t="s">
        <v>352</v>
      </c>
      <c r="G282" s="414"/>
      <c r="H282" s="414"/>
      <c r="I282" s="414"/>
      <c r="J282" s="414"/>
      <c r="K282" s="414"/>
      <c r="L282" s="414"/>
      <c r="M282" s="414"/>
      <c r="N282" s="414"/>
      <c r="O282" s="414"/>
      <c r="P282" s="414"/>
      <c r="Q282" s="397"/>
      <c r="R282" s="49"/>
    </row>
    <row r="283" spans="2:18" hidden="1">
      <c r="B283" s="94" t="s">
        <v>533</v>
      </c>
      <c r="C283" s="185"/>
      <c r="D283" s="196"/>
      <c r="E283" s="49" t="s">
        <v>146</v>
      </c>
      <c r="F283" s="28" t="s">
        <v>207</v>
      </c>
      <c r="G283" s="126">
        <f t="shared" ref="G283:P283" si="218">IF(G282="",G281,G282)*G280</f>
        <v>0</v>
      </c>
      <c r="H283" s="126">
        <f t="shared" si="218"/>
        <v>0</v>
      </c>
      <c r="I283" s="126">
        <f t="shared" si="218"/>
        <v>0</v>
      </c>
      <c r="J283" s="126">
        <f t="shared" si="218"/>
        <v>0</v>
      </c>
      <c r="K283" s="126">
        <f t="shared" si="218"/>
        <v>0</v>
      </c>
      <c r="L283" s="126">
        <f t="shared" si="218"/>
        <v>0</v>
      </c>
      <c r="M283" s="126">
        <f t="shared" si="218"/>
        <v>0</v>
      </c>
      <c r="N283" s="126">
        <f t="shared" si="218"/>
        <v>0</v>
      </c>
      <c r="O283" s="126">
        <f t="shared" si="218"/>
        <v>0</v>
      </c>
      <c r="P283" s="126">
        <f t="shared" si="218"/>
        <v>0</v>
      </c>
      <c r="Q283" s="397"/>
      <c r="R283" s="49"/>
    </row>
    <row r="284" spans="2:18" ht="12" hidden="1" thickBot="1">
      <c r="B284" s="94" t="s">
        <v>533</v>
      </c>
      <c r="C284" s="158"/>
      <c r="D284" s="66"/>
      <c r="E284" s="67" t="str">
        <f>C268</f>
        <v>Contaminated soil treat on-site</v>
      </c>
      <c r="F284" s="72"/>
      <c r="G284" s="64">
        <f>G272+G278+G283</f>
        <v>0</v>
      </c>
      <c r="H284" s="64">
        <f t="shared" ref="H284:P284" si="219">H272+H278+H283</f>
        <v>0</v>
      </c>
      <c r="I284" s="64">
        <f t="shared" si="219"/>
        <v>0</v>
      </c>
      <c r="J284" s="64">
        <f t="shared" si="219"/>
        <v>0</v>
      </c>
      <c r="K284" s="64">
        <f t="shared" si="219"/>
        <v>0</v>
      </c>
      <c r="L284" s="64">
        <f t="shared" si="219"/>
        <v>0</v>
      </c>
      <c r="M284" s="64">
        <f t="shared" si="219"/>
        <v>0</v>
      </c>
      <c r="N284" s="64">
        <f t="shared" si="219"/>
        <v>0</v>
      </c>
      <c r="O284" s="64">
        <f t="shared" si="219"/>
        <v>0</v>
      </c>
      <c r="P284" s="64">
        <f t="shared" si="219"/>
        <v>0</v>
      </c>
      <c r="Q284" s="397"/>
      <c r="R284" s="49"/>
    </row>
    <row r="285" spans="2:18" hidden="1">
      <c r="B285" s="94" t="s">
        <v>533</v>
      </c>
      <c r="C285" s="569" t="s">
        <v>751</v>
      </c>
      <c r="D285" s="565" t="s">
        <v>751</v>
      </c>
      <c r="E285" s="565" t="s">
        <v>751</v>
      </c>
      <c r="F285" s="28" t="s">
        <v>207</v>
      </c>
      <c r="G285" s="468">
        <v>0</v>
      </c>
      <c r="H285" s="468">
        <v>0</v>
      </c>
      <c r="I285" s="468">
        <v>0</v>
      </c>
      <c r="J285" s="468">
        <v>0</v>
      </c>
      <c r="K285" s="468">
        <v>0</v>
      </c>
      <c r="L285" s="468">
        <v>0</v>
      </c>
      <c r="M285" s="468">
        <v>0</v>
      </c>
      <c r="N285" s="468">
        <v>0</v>
      </c>
      <c r="O285" s="468">
        <v>0</v>
      </c>
      <c r="P285" s="468">
        <v>0</v>
      </c>
      <c r="Q285" s="397"/>
      <c r="R285" s="49"/>
    </row>
    <row r="286" spans="2:18" hidden="1">
      <c r="B286" s="94" t="s">
        <v>533</v>
      </c>
      <c r="C286" s="569" t="s">
        <v>751</v>
      </c>
      <c r="D286" s="565" t="s">
        <v>751</v>
      </c>
      <c r="E286" s="565" t="s">
        <v>751</v>
      </c>
      <c r="F286" s="28" t="s">
        <v>207</v>
      </c>
      <c r="G286" s="468">
        <v>0</v>
      </c>
      <c r="H286" s="468">
        <v>0</v>
      </c>
      <c r="I286" s="468">
        <v>0</v>
      </c>
      <c r="J286" s="468">
        <v>0</v>
      </c>
      <c r="K286" s="468">
        <v>0</v>
      </c>
      <c r="L286" s="468">
        <v>0</v>
      </c>
      <c r="M286" s="468">
        <v>0</v>
      </c>
      <c r="N286" s="468">
        <v>0</v>
      </c>
      <c r="O286" s="468">
        <v>0</v>
      </c>
      <c r="P286" s="468">
        <v>0</v>
      </c>
      <c r="Q286" s="397"/>
      <c r="R286" s="49"/>
    </row>
    <row r="287" spans="2:18" hidden="1">
      <c r="B287" s="94" t="s">
        <v>533</v>
      </c>
      <c r="C287" s="569" t="s">
        <v>751</v>
      </c>
      <c r="D287" s="565" t="s">
        <v>751</v>
      </c>
      <c r="E287" s="565" t="s">
        <v>751</v>
      </c>
      <c r="F287" s="28" t="s">
        <v>207</v>
      </c>
      <c r="G287" s="468">
        <v>0</v>
      </c>
      <c r="H287" s="468">
        <v>0</v>
      </c>
      <c r="I287" s="468">
        <v>0</v>
      </c>
      <c r="J287" s="468">
        <v>0</v>
      </c>
      <c r="K287" s="468">
        <v>0</v>
      </c>
      <c r="L287" s="468">
        <v>0</v>
      </c>
      <c r="M287" s="468">
        <v>0</v>
      </c>
      <c r="N287" s="468">
        <v>0</v>
      </c>
      <c r="O287" s="468">
        <v>0</v>
      </c>
      <c r="P287" s="468">
        <v>0</v>
      </c>
      <c r="Q287" s="397"/>
      <c r="R287" s="49"/>
    </row>
    <row r="288" spans="2:18" hidden="1">
      <c r="B288" s="94" t="s">
        <v>533</v>
      </c>
      <c r="C288" s="569" t="s">
        <v>751</v>
      </c>
      <c r="D288" s="565" t="s">
        <v>751</v>
      </c>
      <c r="E288" s="565" t="s">
        <v>751</v>
      </c>
      <c r="F288" s="28" t="s">
        <v>207</v>
      </c>
      <c r="G288" s="468">
        <v>0</v>
      </c>
      <c r="H288" s="468">
        <v>0</v>
      </c>
      <c r="I288" s="468">
        <v>0</v>
      </c>
      <c r="J288" s="468">
        <v>0</v>
      </c>
      <c r="K288" s="468">
        <v>0</v>
      </c>
      <c r="L288" s="468">
        <v>0</v>
      </c>
      <c r="M288" s="468">
        <v>0</v>
      </c>
      <c r="N288" s="468">
        <v>0</v>
      </c>
      <c r="O288" s="468">
        <v>0</v>
      </c>
      <c r="P288" s="468">
        <v>0</v>
      </c>
      <c r="Q288" s="397"/>
      <c r="R288" s="49"/>
    </row>
    <row r="289" spans="2:18" hidden="1">
      <c r="B289" s="94" t="s">
        <v>533</v>
      </c>
      <c r="C289" s="569" t="s">
        <v>751</v>
      </c>
      <c r="D289" s="565" t="s">
        <v>751</v>
      </c>
      <c r="E289" s="565" t="s">
        <v>751</v>
      </c>
      <c r="F289" s="28" t="s">
        <v>207</v>
      </c>
      <c r="G289" s="468">
        <v>0</v>
      </c>
      <c r="H289" s="468">
        <v>0</v>
      </c>
      <c r="I289" s="468">
        <v>0</v>
      </c>
      <c r="J289" s="468">
        <v>0</v>
      </c>
      <c r="K289" s="468">
        <v>0</v>
      </c>
      <c r="L289" s="468">
        <v>0</v>
      </c>
      <c r="M289" s="468">
        <v>0</v>
      </c>
      <c r="N289" s="468">
        <v>0</v>
      </c>
      <c r="O289" s="468">
        <v>0</v>
      </c>
      <c r="P289" s="468">
        <v>0</v>
      </c>
      <c r="Q289" s="397"/>
      <c r="R289" s="49"/>
    </row>
    <row r="290" spans="2:18" ht="12" hidden="1" thickBot="1">
      <c r="B290" s="94" t="s">
        <v>533</v>
      </c>
      <c r="C290" s="158"/>
      <c r="D290" s="66"/>
      <c r="E290" s="67" t="s">
        <v>173</v>
      </c>
      <c r="F290" s="72"/>
      <c r="G290" s="64">
        <f t="shared" ref="G290:J290" si="220">SUM(G285:G289)</f>
        <v>0</v>
      </c>
      <c r="H290" s="64">
        <f t="shared" si="220"/>
        <v>0</v>
      </c>
      <c r="I290" s="64">
        <f t="shared" si="220"/>
        <v>0</v>
      </c>
      <c r="J290" s="64">
        <f t="shared" si="220"/>
        <v>0</v>
      </c>
      <c r="K290" s="64">
        <f t="shared" ref="K290:P290" si="221">SUM(K285:K289)</f>
        <v>0</v>
      </c>
      <c r="L290" s="64">
        <f t="shared" si="221"/>
        <v>0</v>
      </c>
      <c r="M290" s="64">
        <f t="shared" si="221"/>
        <v>0</v>
      </c>
      <c r="N290" s="64">
        <f t="shared" si="221"/>
        <v>0</v>
      </c>
      <c r="O290" s="64">
        <f t="shared" si="221"/>
        <v>0</v>
      </c>
      <c r="P290" s="64">
        <f t="shared" si="221"/>
        <v>0</v>
      </c>
      <c r="Q290" s="397"/>
      <c r="R290" s="49"/>
    </row>
    <row r="291" spans="2:18">
      <c r="B291" s="94" t="s">
        <v>123</v>
      </c>
    </row>
  </sheetData>
  <sheetProtection algorithmName="SHA-512" hashValue="UgGffIzPyHKd258YLQpoZRhJhym3dmtL27pO3JaF5LFO8LEcZbI0QL90cWCxCrmF4tpzfHW5DF292Kg/teNKiQ==" saltValue="CZhF/ROc4hDvJuaH0amlMw==" spinCount="100000" sheet="1" objects="1" scenarios="1" autoFilter="0"/>
  <autoFilter ref="B18:B291" xr:uid="{8D649BC2-890D-4A8A-82A3-47289AC2DA63}">
    <filterColumn colId="0">
      <filters>
        <filter val="Select"/>
      </filters>
    </filterColumn>
  </autoFilter>
  <phoneticPr fontId="21" type="noConversion"/>
  <conditionalFormatting sqref="G110:O110">
    <cfRule type="notContainsBlanks" dxfId="145" priority="40">
      <formula>LEN(TRIM(G110))&gt;0</formula>
    </cfRule>
  </conditionalFormatting>
  <conditionalFormatting sqref="G173:O173">
    <cfRule type="notContainsBlanks" dxfId="144" priority="28">
      <formula>LEN(TRIM(G173))&gt;0</formula>
    </cfRule>
  </conditionalFormatting>
  <conditionalFormatting sqref="G256:O256">
    <cfRule type="notContainsBlanks" dxfId="143" priority="14">
      <formula>LEN(TRIM(G256))&gt;0</formula>
    </cfRule>
  </conditionalFormatting>
  <conditionalFormatting sqref="G14:P14">
    <cfRule type="notContainsBlanks" dxfId="142" priority="52">
      <formula>LEN(TRIM(G14))&gt;0</formula>
    </cfRule>
  </conditionalFormatting>
  <conditionalFormatting sqref="G30:P30">
    <cfRule type="notContainsBlanks" dxfId="141" priority="51">
      <formula>LEN(TRIM(G30))&gt;0</formula>
    </cfRule>
  </conditionalFormatting>
  <conditionalFormatting sqref="G36:P36">
    <cfRule type="notContainsBlanks" dxfId="140" priority="1">
      <formula>LEN(TRIM(G36))&gt;0</formula>
    </cfRule>
  </conditionalFormatting>
  <conditionalFormatting sqref="G45:P45">
    <cfRule type="notContainsBlanks" dxfId="139" priority="50">
      <formula>LEN(TRIM(G45))&gt;0</formula>
    </cfRule>
  </conditionalFormatting>
  <conditionalFormatting sqref="G49:P49">
    <cfRule type="notContainsBlanks" dxfId="138" priority="49">
      <formula>LEN(TRIM(G49))&gt;0</formula>
    </cfRule>
  </conditionalFormatting>
  <conditionalFormatting sqref="G53:P53">
    <cfRule type="notContainsBlanks" dxfId="137" priority="48">
      <formula>LEN(TRIM(G53))&gt;0</formula>
    </cfRule>
  </conditionalFormatting>
  <conditionalFormatting sqref="G64:P64">
    <cfRule type="notContainsBlanks" dxfId="136" priority="47">
      <formula>LEN(TRIM(G64))&gt;0</formula>
    </cfRule>
  </conditionalFormatting>
  <conditionalFormatting sqref="G68:P68">
    <cfRule type="notContainsBlanks" dxfId="135" priority="46">
      <formula>LEN(TRIM(G68))&gt;0</formula>
    </cfRule>
  </conditionalFormatting>
  <conditionalFormatting sqref="G72:P72">
    <cfRule type="notContainsBlanks" dxfId="134" priority="2">
      <formula>LEN(TRIM(G72))&gt;0</formula>
    </cfRule>
  </conditionalFormatting>
  <conditionalFormatting sqref="G83:P83">
    <cfRule type="notContainsBlanks" dxfId="133" priority="45">
      <formula>LEN(TRIM(G83))&gt;0</formula>
    </cfRule>
  </conditionalFormatting>
  <conditionalFormatting sqref="G86:P86">
    <cfRule type="notContainsBlanks" dxfId="132" priority="44">
      <formula>LEN(TRIM(G86))&gt;0</formula>
    </cfRule>
  </conditionalFormatting>
  <conditionalFormatting sqref="G90:P90">
    <cfRule type="notContainsBlanks" dxfId="131" priority="43">
      <formula>LEN(TRIM(G90))&gt;0</formula>
    </cfRule>
  </conditionalFormatting>
  <conditionalFormatting sqref="G93:P93">
    <cfRule type="notContainsBlanks" dxfId="130" priority="42">
      <formula>LEN(TRIM(G93))&gt;0</formula>
    </cfRule>
  </conditionalFormatting>
  <conditionalFormatting sqref="G106:P106">
    <cfRule type="notContainsBlanks" dxfId="129" priority="41">
      <formula>LEN(TRIM(G106))&gt;0</formula>
    </cfRule>
  </conditionalFormatting>
  <conditionalFormatting sqref="G113:P113">
    <cfRule type="notContainsBlanks" dxfId="128" priority="39">
      <formula>LEN(TRIM(G113))&gt;0</formula>
    </cfRule>
  </conditionalFormatting>
  <conditionalFormatting sqref="G117:P117">
    <cfRule type="notContainsBlanks" dxfId="127" priority="38">
      <formula>LEN(TRIM(G117))&gt;0</formula>
    </cfRule>
  </conditionalFormatting>
  <conditionalFormatting sqref="G121:P121">
    <cfRule type="notContainsBlanks" dxfId="126" priority="37">
      <formula>LEN(TRIM(G121))&gt;0</formula>
    </cfRule>
  </conditionalFormatting>
  <conditionalFormatting sqref="G124:P124">
    <cfRule type="notContainsBlanks" dxfId="125" priority="36">
      <formula>LEN(TRIM(G124))&gt;0</formula>
    </cfRule>
  </conditionalFormatting>
  <conditionalFormatting sqref="G127:P127">
    <cfRule type="notContainsBlanks" dxfId="124" priority="35">
      <formula>LEN(TRIM(G127))&gt;0</formula>
    </cfRule>
  </conditionalFormatting>
  <conditionalFormatting sqref="G130:P130">
    <cfRule type="notContainsBlanks" dxfId="123" priority="34">
      <formula>LEN(TRIM(G130))&gt;0</formula>
    </cfRule>
  </conditionalFormatting>
  <conditionalFormatting sqref="G142:P142">
    <cfRule type="notContainsBlanks" dxfId="122" priority="33">
      <formula>LEN(TRIM(G142))&gt;0</formula>
    </cfRule>
  </conditionalFormatting>
  <conditionalFormatting sqref="G146:P146">
    <cfRule type="notContainsBlanks" dxfId="121" priority="32">
      <formula>LEN(TRIM(G146))&gt;0</formula>
    </cfRule>
  </conditionalFormatting>
  <conditionalFormatting sqref="G153:P153">
    <cfRule type="notContainsBlanks" dxfId="120" priority="31">
      <formula>LEN(TRIM(G153))&gt;0</formula>
    </cfRule>
  </conditionalFormatting>
  <conditionalFormatting sqref="G159:P159">
    <cfRule type="notContainsBlanks" dxfId="119" priority="30">
      <formula>LEN(TRIM(G159))&gt;0</formula>
    </cfRule>
  </conditionalFormatting>
  <conditionalFormatting sqref="G165:P165">
    <cfRule type="notContainsBlanks" dxfId="118" priority="29">
      <formula>LEN(TRIM(G165))&gt;0</formula>
    </cfRule>
  </conditionalFormatting>
  <conditionalFormatting sqref="G177:P177">
    <cfRule type="notContainsBlanks" dxfId="117" priority="27">
      <formula>LEN(TRIM(G177))&gt;0</formula>
    </cfRule>
  </conditionalFormatting>
  <conditionalFormatting sqref="G191:P191">
    <cfRule type="notContainsBlanks" dxfId="116" priority="26">
      <formula>LEN(TRIM(G191))&gt;0</formula>
    </cfRule>
  </conditionalFormatting>
  <conditionalFormatting sqref="G195:P195">
    <cfRule type="notContainsBlanks" dxfId="115" priority="25">
      <formula>LEN(TRIM(G195))&gt;0</formula>
    </cfRule>
  </conditionalFormatting>
  <conditionalFormatting sqref="G199:P199">
    <cfRule type="notContainsBlanks" dxfId="114" priority="24">
      <formula>LEN(TRIM(G199))&gt;0</formula>
    </cfRule>
  </conditionalFormatting>
  <conditionalFormatting sqref="G209:P209">
    <cfRule type="notContainsBlanks" dxfId="113" priority="23">
      <formula>LEN(TRIM(G209))&gt;0</formula>
    </cfRule>
  </conditionalFormatting>
  <conditionalFormatting sqref="G213:P213">
    <cfRule type="notContainsBlanks" dxfId="112" priority="22">
      <formula>LEN(TRIM(G213))&gt;0</formula>
    </cfRule>
  </conditionalFormatting>
  <conditionalFormatting sqref="G215:P215">
    <cfRule type="notContainsBlanks" dxfId="111" priority="21">
      <formula>LEN(TRIM(G215))&gt;0</formula>
    </cfRule>
  </conditionalFormatting>
  <conditionalFormatting sqref="G225:P225">
    <cfRule type="notContainsBlanks" dxfId="110" priority="8">
      <formula>LEN(TRIM(G225))&gt;0</formula>
    </cfRule>
  </conditionalFormatting>
  <conditionalFormatting sqref="G231:P231">
    <cfRule type="notContainsBlanks" dxfId="109" priority="7">
      <formula>LEN(TRIM(G231))&gt;0</formula>
    </cfRule>
  </conditionalFormatting>
  <conditionalFormatting sqref="G235:P235">
    <cfRule type="notContainsBlanks" dxfId="108" priority="6">
      <formula>LEN(TRIM(G235))&gt;0</formula>
    </cfRule>
  </conditionalFormatting>
  <conditionalFormatting sqref="G239:P239">
    <cfRule type="notContainsBlanks" dxfId="107" priority="5">
      <formula>LEN(TRIM(G239))&gt;0</formula>
    </cfRule>
  </conditionalFormatting>
  <conditionalFormatting sqref="G243:P243">
    <cfRule type="notContainsBlanks" dxfId="106" priority="4">
      <formula>LEN(TRIM(G243))&gt;0</formula>
    </cfRule>
  </conditionalFormatting>
  <conditionalFormatting sqref="G247:P247">
    <cfRule type="notContainsBlanks" dxfId="105" priority="3">
      <formula>LEN(TRIM(G247))&gt;0</formula>
    </cfRule>
  </conditionalFormatting>
  <conditionalFormatting sqref="G259:P259">
    <cfRule type="notContainsBlanks" dxfId="104" priority="13">
      <formula>LEN(TRIM(G259))&gt;0</formula>
    </cfRule>
  </conditionalFormatting>
  <conditionalFormatting sqref="G265:P265">
    <cfRule type="notContainsBlanks" dxfId="103" priority="12">
      <formula>LEN(TRIM(G265))&gt;0</formula>
    </cfRule>
  </conditionalFormatting>
  <conditionalFormatting sqref="G271:P271">
    <cfRule type="notContainsBlanks" dxfId="102" priority="11">
      <formula>LEN(TRIM(G271))&gt;0</formula>
    </cfRule>
  </conditionalFormatting>
  <conditionalFormatting sqref="G277:P277">
    <cfRule type="notContainsBlanks" dxfId="101" priority="10">
      <formula>LEN(TRIM(G277))&gt;0</formula>
    </cfRule>
  </conditionalFormatting>
  <conditionalFormatting sqref="G282:P282">
    <cfRule type="notContainsBlanks" dxfId="100" priority="9">
      <formula>LEN(TRIM(G282))&gt;0</formula>
    </cfRule>
  </conditionalFormatting>
  <conditionalFormatting sqref="G19:Q19">
    <cfRule type="containsText" dxfId="99" priority="54" operator="containsText" text="ok">
      <formula>NOT(ISERROR(SEARCH("ok",G19)))</formula>
    </cfRule>
  </conditionalFormatting>
  <dataValidations count="22">
    <dataValidation type="list" allowBlank="1" showInputMessage="1" showErrorMessage="1" sqref="G197:P197" xr:uid="{244847F4-3A84-4F7E-96D0-F9AC9BB6FF92}">
      <formula1>Load_haul_soil_names_CS</formula1>
    </dataValidation>
    <dataValidation type="list" allowBlank="1" showInputMessage="1" showErrorMessage="1" sqref="G279:P279 G140:P140" xr:uid="{CAC5E9CE-5FB0-42F6-B3FA-EAA977B53823}">
      <formula1>Load_haul_stabilised_names_CS</formula1>
    </dataValidation>
    <dataValidation type="list" allowBlank="1" showInputMessage="1" showErrorMessage="1" sqref="G171:P171" xr:uid="{354F3C11-7E78-4A60-B946-C6FB58BCA7CE}">
      <formula1>Drains_names_CS</formula1>
    </dataValidation>
    <dataValidation type="list" allowBlank="1" showInputMessage="1" showErrorMessage="1" sqref="G115:P115" xr:uid="{3879489F-DFFC-464D-AE5A-076B4351DEBE}">
      <formula1>Long_haul_clay_names_CS</formula1>
    </dataValidation>
    <dataValidation type="list" allowBlank="1" showInputMessage="1" showErrorMessage="1" sqref="G104:P104" xr:uid="{30BA9804-9A2F-4C12-8E4B-8C72EB0FBD7A}">
      <formula1>Clay_source</formula1>
    </dataValidation>
    <dataValidation type="list" allowBlank="1" showInputMessage="1" showErrorMessage="1" sqref="G119:P119" xr:uid="{5BE0C3EA-B9C1-4F7F-8082-A456BAE87CA1}">
      <formula1>Grader_trim_names_CS</formula1>
    </dataValidation>
    <dataValidation type="list" allowBlank="1" showInputMessage="1" showErrorMessage="1" sqref="G222:P222" xr:uid="{280E4FD6-D69F-4500-86F4-17B77B04C242}">
      <formula1>Plant_and_seed_list_L</formula1>
    </dataValidation>
    <dataValidation type="list" allowBlank="1" showInputMessage="1" showErrorMessage="1" sqref="G23:P23" xr:uid="{ED350F42-D479-4F27-8303-F3017518A096}">
      <formula1>Capping_risk_level_WRD_L</formula1>
    </dataValidation>
    <dataValidation type="list" allowBlank="1" showInputMessage="1" showErrorMessage="1" sqref="G144:P144 G51:P51 G28:P28" xr:uid="{9F0CA8BD-9D95-467F-9949-F88FE73A9A7B}">
      <formula1>Dozer_shape_doze_for_drainage_names_CS</formula1>
    </dataValidation>
    <dataValidation type="list" allowBlank="1" showInputMessage="1" showErrorMessage="1" sqref="G211:P211 G189:P189" xr:uid="{E51AA779-B39F-4E61-9B17-D09AD4773D3A}">
      <formula1>Long_haul_soil_amend_names_volume_CS</formula1>
    </dataValidation>
    <dataValidation type="list" allowBlank="1" showInputMessage="1" showErrorMessage="1" sqref="G70:P70 G47:P47 G34:P34" xr:uid="{379E5956-91CC-4BAE-A572-EFACD74054B4}">
      <formula1>Dozer_push_names_CS</formula1>
    </dataValidation>
    <dataValidation type="list" allowBlank="1" showInputMessage="1" showErrorMessage="1" sqref="G88:P88 G66:P66 G108:P108 G43:P43" xr:uid="{2F3FD062-1C09-41AA-8E5A-F87F48C200B7}">
      <formula1>Load_haul_fill_names_CS</formula1>
    </dataValidation>
    <dataValidation type="list" allowBlank="1" showInputMessage="1" showErrorMessage="1" sqref="G205:P205" xr:uid="{857A8339-BE97-426A-AAB0-BDAC3F2EAF67}">
      <formula1>Ameliorants_soil_L</formula1>
    </dataValidation>
    <dataValidation type="list" allowBlank="1" showInputMessage="1" showErrorMessage="1" sqref="G10:P10" xr:uid="{12324E14-6459-47F2-B41E-61E68B4CA5B3}">
      <formula1>WRD_names_CS</formula1>
    </dataValidation>
    <dataValidation type="list" allowBlank="1" showInputMessage="1" showErrorMessage="1" sqref="G229:P229" xr:uid="{A0E5E8A8-E05C-4703-8F15-61BB7FC9345B}">
      <formula1>Plant_and_seed_apply_plant_names_CS</formula1>
    </dataValidation>
    <dataValidation type="list" allowBlank="1" showInputMessage="1" showErrorMessage="1" sqref="G233:P233" xr:uid="{CCFB78AA-81D5-4993-B127-D86C8A5F768D}">
      <formula1>Plant_and_seed_fertiliser_buy_names_CS</formula1>
    </dataValidation>
    <dataValidation type="list" allowBlank="1" showInputMessage="1" showErrorMessage="1" sqref="G237:P237" xr:uid="{B0A247E7-B15F-4C9F-8CC9-2EED7D1BA609}">
      <formula1>Plant_and_seed_apply_fertiliser_names_CS</formula1>
    </dataValidation>
    <dataValidation type="list" allowBlank="1" showInputMessage="1" showErrorMessage="1" sqref="G241:P241" xr:uid="{1F2282F4-2683-4910-BF65-87787D660F92}">
      <formula1>Plant_and_seed_buy_water_names_CS</formula1>
    </dataValidation>
    <dataValidation type="list" allowBlank="1" showInputMessage="1" showErrorMessage="1" sqref="G245:P245" xr:uid="{33C3CBC1-7DBA-4535-B812-2686414A78B1}">
      <formula1>Plant_and_seed_apply_water_names_CS</formula1>
    </dataValidation>
    <dataValidation type="list" allowBlank="1" showInputMessage="1" showErrorMessage="1" sqref="G273:P273" xr:uid="{EEA6587D-574D-4A9D-8909-8680DFAAAD44}">
      <formula1>Contaminated_soil_names_CS</formula1>
    </dataValidation>
    <dataValidation type="list" allowBlank="1" showInputMessage="1" showErrorMessage="1" sqref="G193:P193" xr:uid="{742A032F-81CA-45D2-9211-A3F1E5BB0FE8}">
      <formula1>Growth_media_fill_names_R</formula1>
    </dataValidation>
    <dataValidation type="list" allowBlank="1" showInputMessage="1" showErrorMessage="1" sqref="G262:P262" xr:uid="{F2C7062D-BA75-420E-985D-B7727FA9FE12}">
      <formula1>Maintenance_rehab_areas_names_CS</formula1>
    </dataValidation>
  </dataValidations>
  <hyperlinks>
    <hyperlink ref="E5" location="RCE_Summary" display="RCE Summary" xr:uid="{3C9AE5DC-05F5-4726-ACE4-9006A4E622C5}"/>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1BDF1-F4BE-4A02-A7DD-B26A80DD9D8D}">
  <sheetPr codeName="Sheet11">
    <tabColor theme="9" tint="-0.249977111117893"/>
  </sheetPr>
  <dimension ref="B2:Q262"/>
  <sheetViews>
    <sheetView showGridLines="0" zoomScale="115" zoomScaleNormal="115" workbookViewId="0">
      <pane xSplit="5" ySplit="8" topLeftCell="F33" activePane="bottomRight" state="frozen"/>
      <selection pane="topRight" activeCell="H1" sqref="H1"/>
      <selection pane="bottomLeft" activeCell="A9" sqref="A9"/>
      <selection pane="bottomRight" activeCell="F38" sqref="F38"/>
    </sheetView>
  </sheetViews>
  <sheetFormatPr defaultColWidth="8.7109375" defaultRowHeight="11.25"/>
  <cols>
    <col min="1" max="1" width="4.5703125" style="28" customWidth="1"/>
    <col min="2" max="2" width="32.140625" style="28" customWidth="1"/>
    <col min="3" max="3" width="23.140625" style="28" customWidth="1"/>
    <col min="4" max="4" width="35.28515625" style="28" customWidth="1"/>
    <col min="5" max="5" width="11.85546875" style="28" customWidth="1"/>
    <col min="6" max="15" width="13.28515625" style="3" customWidth="1"/>
    <col min="16" max="16" width="84" style="28" customWidth="1"/>
    <col min="17" max="17" width="71.5703125" style="28" customWidth="1"/>
    <col min="18" max="18" width="34.5703125" style="28" customWidth="1"/>
    <col min="19" max="19" width="36.7109375" style="28" customWidth="1"/>
    <col min="20" max="16384" width="8.7109375" style="28"/>
  </cols>
  <sheetData>
    <row r="2" spans="2:17" ht="24.95" customHeight="1">
      <c r="B2" s="317" t="str">
        <f>Name_main</f>
        <v>Rehabilitation Cost Estimate Tool - Mining New South Wales</v>
      </c>
      <c r="F2" s="473"/>
    </row>
    <row r="3" spans="2:17" ht="15" customHeight="1">
      <c r="B3" s="318" t="str">
        <f>CONCATENATE(CompanyName," - ",Mine_Name)</f>
        <v>Boral Cement - Marulan South Limestone Mine</v>
      </c>
      <c r="F3" s="473"/>
    </row>
    <row r="4" spans="2:17" ht="15" customHeight="1" thickBot="1">
      <c r="B4" s="319" t="s">
        <v>182</v>
      </c>
      <c r="C4" s="320">
        <f>Grand_total</f>
        <v>27655414.430474937</v>
      </c>
      <c r="F4" s="473"/>
    </row>
    <row r="5" spans="2:17" ht="12.75" thickTop="1" thickBot="1">
      <c r="E5" s="323" t="s">
        <v>1030</v>
      </c>
      <c r="F5" s="519">
        <f t="shared" ref="F5:O5" si="0">IF(F11=0,0,F6/F11)</f>
        <v>26067.720342103301</v>
      </c>
      <c r="G5" s="519">
        <f t="shared" si="0"/>
        <v>0</v>
      </c>
      <c r="H5" s="519">
        <f t="shared" si="0"/>
        <v>0</v>
      </c>
      <c r="I5" s="519">
        <f t="shared" si="0"/>
        <v>0</v>
      </c>
      <c r="J5" s="519">
        <f t="shared" si="0"/>
        <v>0</v>
      </c>
      <c r="K5" s="519">
        <f t="shared" si="0"/>
        <v>0</v>
      </c>
      <c r="L5" s="519">
        <f t="shared" si="0"/>
        <v>0</v>
      </c>
      <c r="M5" s="519">
        <f t="shared" si="0"/>
        <v>0</v>
      </c>
      <c r="N5" s="519">
        <f t="shared" si="0"/>
        <v>0</v>
      </c>
      <c r="O5" s="519">
        <f t="shared" si="0"/>
        <v>0</v>
      </c>
    </row>
    <row r="6" spans="2:17" ht="12.75" thickTop="1" thickBot="1">
      <c r="B6" s="321" t="s">
        <v>1031</v>
      </c>
      <c r="C6" s="322">
        <f>SUM(F6:O6)</f>
        <v>4466182.5262125582</v>
      </c>
      <c r="D6" s="393" t="s">
        <v>1</v>
      </c>
      <c r="E6" s="323" t="s">
        <v>184</v>
      </c>
      <c r="F6" s="324">
        <f t="shared" ref="F6:O6" si="1">F33+F50+F66+F89+F114+F124+F147+F175+F223+F217+F244+F256+F262</f>
        <v>4466182.5262125582</v>
      </c>
      <c r="G6" s="324">
        <f t="shared" si="1"/>
        <v>0</v>
      </c>
      <c r="H6" s="324">
        <f t="shared" si="1"/>
        <v>0</v>
      </c>
      <c r="I6" s="324">
        <f t="shared" si="1"/>
        <v>0</v>
      </c>
      <c r="J6" s="324">
        <f t="shared" si="1"/>
        <v>0</v>
      </c>
      <c r="K6" s="324">
        <f t="shared" si="1"/>
        <v>0</v>
      </c>
      <c r="L6" s="324">
        <f t="shared" si="1"/>
        <v>0</v>
      </c>
      <c r="M6" s="324">
        <f t="shared" si="1"/>
        <v>0</v>
      </c>
      <c r="N6" s="324">
        <f t="shared" si="1"/>
        <v>0</v>
      </c>
      <c r="O6" s="324">
        <f t="shared" si="1"/>
        <v>0</v>
      </c>
    </row>
    <row r="7" spans="2:17" ht="12" thickTop="1"/>
    <row r="8" spans="2:17" ht="12" thickBot="1">
      <c r="B8" s="325" t="s">
        <v>185</v>
      </c>
      <c r="C8" s="326" t="s">
        <v>186</v>
      </c>
      <c r="D8" s="326" t="s">
        <v>187</v>
      </c>
      <c r="E8" s="570" t="s">
        <v>1032</v>
      </c>
      <c r="F8" s="501" t="s">
        <v>1033</v>
      </c>
      <c r="G8" s="501" t="s">
        <v>1034</v>
      </c>
      <c r="H8" s="501" t="s">
        <v>1034</v>
      </c>
      <c r="I8" s="501" t="s">
        <v>1034</v>
      </c>
      <c r="J8" s="501" t="s">
        <v>1034</v>
      </c>
      <c r="K8" s="501" t="s">
        <v>1034</v>
      </c>
      <c r="L8" s="501" t="s">
        <v>1034</v>
      </c>
      <c r="M8" s="501" t="s">
        <v>1034</v>
      </c>
      <c r="N8" s="501" t="s">
        <v>1034</v>
      </c>
      <c r="O8" s="501" t="s">
        <v>1034</v>
      </c>
      <c r="P8" s="327" t="s">
        <v>190</v>
      </c>
      <c r="Q8" s="328" t="s">
        <v>191</v>
      </c>
    </row>
    <row r="9" spans="2:17">
      <c r="B9" s="571" t="s">
        <v>124</v>
      </c>
      <c r="C9" s="500"/>
      <c r="D9" s="504"/>
      <c r="F9" s="504"/>
      <c r="G9" s="504"/>
      <c r="H9" s="504"/>
      <c r="I9" s="504"/>
      <c r="J9" s="504"/>
      <c r="K9" s="504"/>
      <c r="L9" s="504"/>
      <c r="M9" s="504"/>
      <c r="N9" s="504"/>
      <c r="O9" s="504"/>
      <c r="P9" s="504"/>
      <c r="Q9" s="329"/>
    </row>
    <row r="10" spans="2:17" ht="45">
      <c r="B10" s="571" t="s">
        <v>192</v>
      </c>
      <c r="C10" s="377" t="s">
        <v>1035</v>
      </c>
      <c r="D10" s="543" t="s">
        <v>194</v>
      </c>
      <c r="F10" s="504" t="s">
        <v>1033</v>
      </c>
      <c r="G10" s="504"/>
      <c r="H10" s="504"/>
      <c r="I10" s="504"/>
      <c r="J10" s="504"/>
      <c r="K10" s="504"/>
      <c r="L10" s="504"/>
      <c r="M10" s="504"/>
      <c r="N10" s="504"/>
      <c r="O10" s="504"/>
      <c r="P10" s="513"/>
      <c r="Q10" s="329" t="s">
        <v>195</v>
      </c>
    </row>
    <row r="11" spans="2:17">
      <c r="B11" s="572" t="s">
        <v>957</v>
      </c>
      <c r="C11" s="346" t="s">
        <v>1036</v>
      </c>
      <c r="D11" s="337" t="s">
        <v>625</v>
      </c>
      <c r="E11" s="28" t="s">
        <v>299</v>
      </c>
      <c r="F11" s="594">
        <f>161.75+1.72+3.01+3.25+1.6</f>
        <v>171.32999999999998</v>
      </c>
      <c r="G11" s="594"/>
      <c r="H11" s="594"/>
      <c r="I11" s="594"/>
      <c r="J11" s="594"/>
      <c r="K11" s="594"/>
      <c r="L11" s="594"/>
      <c r="M11" s="594"/>
      <c r="N11" s="594"/>
      <c r="O11" s="594"/>
      <c r="P11" s="504"/>
      <c r="Q11" s="420"/>
    </row>
    <row r="12" spans="2:17">
      <c r="B12" s="573"/>
      <c r="C12" s="574"/>
      <c r="D12" s="552"/>
      <c r="E12" s="62"/>
      <c r="F12" s="63"/>
      <c r="G12" s="63"/>
      <c r="H12" s="63"/>
      <c r="I12" s="63"/>
      <c r="J12" s="63"/>
      <c r="K12" s="63"/>
      <c r="L12" s="63"/>
      <c r="M12" s="63"/>
      <c r="N12" s="63"/>
      <c r="O12" s="63"/>
      <c r="P12" s="504"/>
      <c r="Q12" s="420"/>
    </row>
    <row r="13" spans="2:17">
      <c r="B13" s="575" t="s">
        <v>1037</v>
      </c>
      <c r="C13" s="376" t="s">
        <v>1038</v>
      </c>
      <c r="D13" s="420" t="s">
        <v>442</v>
      </c>
      <c r="E13" s="28" t="s">
        <v>411</v>
      </c>
      <c r="F13" s="595">
        <v>10.361000000000001</v>
      </c>
      <c r="G13" s="595"/>
      <c r="H13" s="595"/>
      <c r="I13" s="595"/>
      <c r="J13" s="595"/>
      <c r="K13" s="595"/>
      <c r="L13" s="595"/>
      <c r="M13" s="595"/>
      <c r="N13" s="595"/>
      <c r="O13" s="595"/>
      <c r="P13" s="504"/>
      <c r="Q13" s="420"/>
    </row>
    <row r="14" spans="2:17">
      <c r="B14" s="383"/>
      <c r="C14" s="371"/>
      <c r="D14" s="337" t="s">
        <v>1039</v>
      </c>
      <c r="E14" s="28" t="s">
        <v>1040</v>
      </c>
      <c r="F14" s="347">
        <f t="shared" ref="F14:O14" si="2">Bund_height/2*(Bund_base_width+Bund_top_width*(1+Bund_Swell))</f>
        <v>9.125</v>
      </c>
      <c r="G14" s="347">
        <f t="shared" si="2"/>
        <v>9.125</v>
      </c>
      <c r="H14" s="347">
        <f t="shared" si="2"/>
        <v>9.125</v>
      </c>
      <c r="I14" s="347">
        <f t="shared" si="2"/>
        <v>9.125</v>
      </c>
      <c r="J14" s="347">
        <f t="shared" si="2"/>
        <v>9.125</v>
      </c>
      <c r="K14" s="347">
        <f t="shared" si="2"/>
        <v>9.125</v>
      </c>
      <c r="L14" s="347">
        <f t="shared" si="2"/>
        <v>9.125</v>
      </c>
      <c r="M14" s="347">
        <f t="shared" si="2"/>
        <v>9.125</v>
      </c>
      <c r="N14" s="347">
        <f t="shared" si="2"/>
        <v>9.125</v>
      </c>
      <c r="O14" s="347">
        <f t="shared" si="2"/>
        <v>9.125</v>
      </c>
      <c r="P14" s="504"/>
      <c r="Q14" s="420"/>
    </row>
    <row r="15" spans="2:17">
      <c r="B15" s="386"/>
      <c r="C15" s="371"/>
      <c r="D15" s="576" t="s">
        <v>307</v>
      </c>
      <c r="E15" s="28" t="s">
        <v>219</v>
      </c>
      <c r="F15" s="347">
        <f>F14*F13</f>
        <v>94.544125000000008</v>
      </c>
      <c r="G15" s="347">
        <f>G14*G13</f>
        <v>0</v>
      </c>
      <c r="H15" s="347">
        <f>H14*H13</f>
        <v>0</v>
      </c>
      <c r="I15" s="347">
        <f t="shared" ref="I15:N15" si="3">I14*I13</f>
        <v>0</v>
      </c>
      <c r="J15" s="347">
        <f t="shared" si="3"/>
        <v>0</v>
      </c>
      <c r="K15" s="347">
        <f t="shared" si="3"/>
        <v>0</v>
      </c>
      <c r="L15" s="347">
        <f t="shared" si="3"/>
        <v>0</v>
      </c>
      <c r="M15" s="347">
        <f t="shared" si="3"/>
        <v>0</v>
      </c>
      <c r="N15" s="347">
        <f t="shared" si="3"/>
        <v>0</v>
      </c>
      <c r="O15" s="347">
        <f>O14*O13</f>
        <v>0</v>
      </c>
      <c r="P15" s="504"/>
      <c r="Q15" s="420"/>
    </row>
    <row r="16" spans="2:17">
      <c r="B16" s="572" t="s">
        <v>1041</v>
      </c>
      <c r="C16" s="371"/>
      <c r="D16" s="576" t="s">
        <v>214</v>
      </c>
      <c r="E16" s="28" t="s">
        <v>215</v>
      </c>
      <c r="F16" s="347">
        <f t="shared" ref="F16:O16" si="4">Bund_base_width*Bund_footprint_additional_width_to_prepare*F13</f>
        <v>56.985500000000002</v>
      </c>
      <c r="G16" s="347">
        <f t="shared" si="4"/>
        <v>0</v>
      </c>
      <c r="H16" s="347">
        <f t="shared" si="4"/>
        <v>0</v>
      </c>
      <c r="I16" s="347">
        <f t="shared" si="4"/>
        <v>0</v>
      </c>
      <c r="J16" s="347">
        <f t="shared" si="4"/>
        <v>0</v>
      </c>
      <c r="K16" s="347">
        <f t="shared" si="4"/>
        <v>0</v>
      </c>
      <c r="L16" s="347">
        <f t="shared" si="4"/>
        <v>0</v>
      </c>
      <c r="M16" s="347">
        <f t="shared" si="4"/>
        <v>0</v>
      </c>
      <c r="N16" s="347">
        <f t="shared" si="4"/>
        <v>0</v>
      </c>
      <c r="O16" s="347">
        <f t="shared" si="4"/>
        <v>0</v>
      </c>
      <c r="P16" s="504"/>
      <c r="Q16" s="420"/>
    </row>
    <row r="17" spans="2:17" ht="22.5">
      <c r="B17" s="572" t="s">
        <v>643</v>
      </c>
      <c r="C17" s="371"/>
      <c r="D17" s="576" t="s">
        <v>1042</v>
      </c>
      <c r="E17" s="28" t="s">
        <v>123</v>
      </c>
      <c r="F17" s="412" t="s">
        <v>1043</v>
      </c>
      <c r="G17" s="412" t="s">
        <v>1044</v>
      </c>
      <c r="H17" s="412" t="s">
        <v>1044</v>
      </c>
      <c r="I17" s="412" t="s">
        <v>1044</v>
      </c>
      <c r="J17" s="412" t="s">
        <v>1044</v>
      </c>
      <c r="K17" s="412" t="s">
        <v>1044</v>
      </c>
      <c r="L17" s="412" t="s">
        <v>1044</v>
      </c>
      <c r="M17" s="412" t="s">
        <v>1044</v>
      </c>
      <c r="N17" s="412" t="s">
        <v>1044</v>
      </c>
      <c r="O17" s="412" t="s">
        <v>1044</v>
      </c>
      <c r="P17" s="504"/>
      <c r="Q17" s="420"/>
    </row>
    <row r="18" spans="2:17">
      <c r="B18" s="382" t="s">
        <v>1044</v>
      </c>
      <c r="C18" s="371"/>
      <c r="D18" s="576" t="s">
        <v>227</v>
      </c>
      <c r="E18" s="28" t="s">
        <v>412</v>
      </c>
      <c r="F18" s="342">
        <f>IF(F17=Excavate_and_place,'Cost Schedule'!$D$989,IF(F17=Haul_and_place,'Cost Schedule'!$D$990,"E"))</f>
        <v>70398.304542317535</v>
      </c>
      <c r="G18" s="342">
        <f>IF(G17=Excavate_and_place,'Cost Schedule'!$D$989,IF(G17=Haul_and_place,'Cost Schedule'!$D$990,"E"))</f>
        <v>40234.221564812651</v>
      </c>
      <c r="H18" s="342">
        <f>IF(H17=Excavate_and_place,'Cost Schedule'!$D$989,IF(H17=Haul_and_place,'Cost Schedule'!$D$990,"E"))</f>
        <v>40234.221564812651</v>
      </c>
      <c r="I18" s="342">
        <f>IF(I17=Excavate_and_place,'Cost Schedule'!$D$989,IF(I17=Haul_and_place,'Cost Schedule'!$D$990,"E"))</f>
        <v>40234.221564812651</v>
      </c>
      <c r="J18" s="342">
        <f>IF(J17=Excavate_and_place,'Cost Schedule'!$D$989,IF(J17=Haul_and_place,'Cost Schedule'!$D$990,"E"))</f>
        <v>40234.221564812651</v>
      </c>
      <c r="K18" s="342">
        <f>IF(K17=Excavate_and_place,'Cost Schedule'!$D$989,IF(K17=Haul_and_place,'Cost Schedule'!$D$990,"E"))</f>
        <v>40234.221564812651</v>
      </c>
      <c r="L18" s="342">
        <f>IF(L17=Excavate_and_place,'Cost Schedule'!$D$989,IF(L17=Haul_and_place,'Cost Schedule'!$D$990,"E"))</f>
        <v>40234.221564812651</v>
      </c>
      <c r="M18" s="342">
        <f>IF(M17=Excavate_and_place,'Cost Schedule'!$D$989,IF(M17=Haul_and_place,'Cost Schedule'!$D$990,"E"))</f>
        <v>40234.221564812651</v>
      </c>
      <c r="N18" s="342">
        <f>IF(N17=Excavate_and_place,'Cost Schedule'!$D$989,IF(N17=Haul_and_place,'Cost Schedule'!$D$990,"E"))</f>
        <v>40234.221564812651</v>
      </c>
      <c r="O18" s="342">
        <f>IF(O17=Excavate_and_place,'Cost Schedule'!$D$989,IF(O17=Haul_and_place,'Cost Schedule'!$D$990,"E"))</f>
        <v>40234.221564812651</v>
      </c>
      <c r="P18" s="504"/>
      <c r="Q18" s="427"/>
    </row>
    <row r="19" spans="2:17">
      <c r="B19" s="383"/>
      <c r="C19" s="371"/>
      <c r="D19" s="337" t="s">
        <v>229</v>
      </c>
      <c r="E19" s="28" t="s">
        <v>412</v>
      </c>
      <c r="F19" s="414"/>
      <c r="G19" s="414"/>
      <c r="H19" s="414"/>
      <c r="I19" s="414"/>
      <c r="J19" s="414"/>
      <c r="K19" s="414"/>
      <c r="L19" s="414"/>
      <c r="M19" s="414"/>
      <c r="N19" s="414"/>
      <c r="O19" s="414"/>
      <c r="P19" s="504"/>
      <c r="Q19" s="420"/>
    </row>
    <row r="20" spans="2:17">
      <c r="B20" s="386"/>
      <c r="C20" s="377"/>
      <c r="D20" s="576" t="s">
        <v>146</v>
      </c>
      <c r="E20" s="28" t="s">
        <v>207</v>
      </c>
      <c r="F20" s="424">
        <f>IF(F19="",F18,F19)*F13</f>
        <v>729396.83336295199</v>
      </c>
      <c r="G20" s="424">
        <f t="shared" ref="G20:O20" si="5">IF(G19="",G18,G19)*G13</f>
        <v>0</v>
      </c>
      <c r="H20" s="424">
        <f t="shared" si="5"/>
        <v>0</v>
      </c>
      <c r="I20" s="424">
        <f t="shared" si="5"/>
        <v>0</v>
      </c>
      <c r="J20" s="424">
        <f t="shared" ref="J20" si="6">IF(J19="",J18,J19)*J13</f>
        <v>0</v>
      </c>
      <c r="K20" s="424">
        <f t="shared" ref="K20:L20" si="7">IF(K19="",K18,K19)*K13</f>
        <v>0</v>
      </c>
      <c r="L20" s="424">
        <f t="shared" si="7"/>
        <v>0</v>
      </c>
      <c r="M20" s="424">
        <f t="shared" ref="M20" si="8">IF(M19="",M18,M19)*M13</f>
        <v>0</v>
      </c>
      <c r="N20" s="424">
        <f t="shared" ref="N20" si="9">IF(N19="",N18,N19)*N13</f>
        <v>0</v>
      </c>
      <c r="O20" s="424">
        <f t="shared" si="5"/>
        <v>0</v>
      </c>
      <c r="P20" s="504"/>
      <c r="Q20" s="420"/>
    </row>
    <row r="21" spans="2:17">
      <c r="B21" s="382" t="s">
        <v>1045</v>
      </c>
      <c r="C21" s="384" t="s">
        <v>1046</v>
      </c>
      <c r="D21" s="420" t="s">
        <v>442</v>
      </c>
      <c r="E21" s="28" t="s">
        <v>411</v>
      </c>
      <c r="F21" s="596"/>
      <c r="G21" s="596"/>
      <c r="H21" s="596"/>
      <c r="I21" s="596"/>
      <c r="J21" s="596"/>
      <c r="K21" s="596"/>
      <c r="L21" s="596"/>
      <c r="M21" s="596"/>
      <c r="N21" s="596"/>
      <c r="O21" s="596"/>
      <c r="P21" s="504"/>
      <c r="Q21" s="420"/>
    </row>
    <row r="22" spans="2:17">
      <c r="B22" s="386"/>
      <c r="C22" s="384" t="s">
        <v>1047</v>
      </c>
      <c r="D22" s="547" t="s">
        <v>442</v>
      </c>
      <c r="E22" s="28" t="s">
        <v>411</v>
      </c>
      <c r="F22" s="596">
        <v>10.4</v>
      </c>
      <c r="G22" s="596"/>
      <c r="H22" s="596"/>
      <c r="I22" s="596"/>
      <c r="J22" s="596"/>
      <c r="K22" s="596"/>
      <c r="L22" s="596"/>
      <c r="M22" s="596"/>
      <c r="N22" s="596"/>
      <c r="O22" s="596"/>
      <c r="P22" s="504"/>
      <c r="Q22" s="420"/>
    </row>
    <row r="23" spans="2:17">
      <c r="B23" s="572" t="s">
        <v>1048</v>
      </c>
      <c r="C23" s="384" t="s">
        <v>1049</v>
      </c>
      <c r="D23" s="547" t="s">
        <v>442</v>
      </c>
      <c r="E23" s="28" t="s">
        <v>411</v>
      </c>
      <c r="F23" s="597">
        <v>10.4</v>
      </c>
      <c r="G23" s="597"/>
      <c r="H23" s="597"/>
      <c r="I23" s="597"/>
      <c r="J23" s="597"/>
      <c r="K23" s="597"/>
      <c r="L23" s="597"/>
      <c r="M23" s="597"/>
      <c r="N23" s="597"/>
      <c r="O23" s="597"/>
      <c r="P23" s="504"/>
      <c r="Q23" s="420"/>
    </row>
    <row r="24" spans="2:17">
      <c r="B24" s="382" t="s">
        <v>1045</v>
      </c>
      <c r="C24" s="376" t="s">
        <v>1046</v>
      </c>
      <c r="D24" s="547" t="s">
        <v>227</v>
      </c>
      <c r="E24" s="28" t="s">
        <v>412</v>
      </c>
      <c r="F24" s="342">
        <f>'Cost Schedule'!$D$556</f>
        <v>224970</v>
      </c>
      <c r="G24" s="342">
        <f>'Cost Schedule'!$D$556</f>
        <v>224970</v>
      </c>
      <c r="H24" s="342">
        <f>'Cost Schedule'!$D$556</f>
        <v>224970</v>
      </c>
      <c r="I24" s="342">
        <f>'Cost Schedule'!$D$556</f>
        <v>224970</v>
      </c>
      <c r="J24" s="342">
        <f>'Cost Schedule'!$D$556</f>
        <v>224970</v>
      </c>
      <c r="K24" s="342">
        <f>'Cost Schedule'!$D$556</f>
        <v>224970</v>
      </c>
      <c r="L24" s="342">
        <f>'Cost Schedule'!$D$556</f>
        <v>224970</v>
      </c>
      <c r="M24" s="342">
        <f>'Cost Schedule'!$D$556</f>
        <v>224970</v>
      </c>
      <c r="N24" s="342">
        <f>'Cost Schedule'!$D$556</f>
        <v>224970</v>
      </c>
      <c r="O24" s="342">
        <f>'Cost Schedule'!$D$556</f>
        <v>224970</v>
      </c>
      <c r="P24" s="504"/>
      <c r="Q24" s="427"/>
    </row>
    <row r="25" spans="2:17">
      <c r="B25" s="383"/>
      <c r="C25" s="377"/>
      <c r="D25" s="337" t="s">
        <v>229</v>
      </c>
      <c r="E25" s="28" t="s">
        <v>412</v>
      </c>
      <c r="F25" s="414"/>
      <c r="G25" s="414"/>
      <c r="H25" s="414"/>
      <c r="I25" s="414"/>
      <c r="J25" s="414"/>
      <c r="K25" s="414"/>
      <c r="L25" s="414"/>
      <c r="M25" s="414"/>
      <c r="N25" s="414"/>
      <c r="O25" s="414"/>
      <c r="P25" s="504"/>
      <c r="Q25" s="420"/>
    </row>
    <row r="26" spans="2:17">
      <c r="B26" s="383"/>
      <c r="C26" s="384" t="s">
        <v>1047</v>
      </c>
      <c r="D26" s="547" t="s">
        <v>227</v>
      </c>
      <c r="E26" s="28" t="s">
        <v>412</v>
      </c>
      <c r="F26" s="342">
        <f>'Cost Schedule'!$D$554</f>
        <v>16995</v>
      </c>
      <c r="G26" s="342">
        <f>'Cost Schedule'!$D$554</f>
        <v>16995</v>
      </c>
      <c r="H26" s="342">
        <f>'Cost Schedule'!$D$554</f>
        <v>16995</v>
      </c>
      <c r="I26" s="342">
        <f>'Cost Schedule'!$D$554</f>
        <v>16995</v>
      </c>
      <c r="J26" s="342">
        <f>'Cost Schedule'!$D$554</f>
        <v>16995</v>
      </c>
      <c r="K26" s="342">
        <f>'Cost Schedule'!$D$554</f>
        <v>16995</v>
      </c>
      <c r="L26" s="342">
        <f>'Cost Schedule'!$D$554</f>
        <v>16995</v>
      </c>
      <c r="M26" s="342">
        <f>'Cost Schedule'!$D$554</f>
        <v>16995</v>
      </c>
      <c r="N26" s="342">
        <f>'Cost Schedule'!$D$554</f>
        <v>16995</v>
      </c>
      <c r="O26" s="342">
        <f>'Cost Schedule'!$D$554</f>
        <v>16995</v>
      </c>
      <c r="P26" s="504"/>
      <c r="Q26" s="427"/>
    </row>
    <row r="27" spans="2:17">
      <c r="B27" s="386"/>
      <c r="C27" s="346"/>
      <c r="D27" s="337" t="s">
        <v>229</v>
      </c>
      <c r="E27" s="28" t="s">
        <v>412</v>
      </c>
      <c r="F27" s="414"/>
      <c r="G27" s="414"/>
      <c r="H27" s="414"/>
      <c r="I27" s="414"/>
      <c r="J27" s="414"/>
      <c r="K27" s="414"/>
      <c r="L27" s="414"/>
      <c r="M27" s="414"/>
      <c r="N27" s="414"/>
      <c r="O27" s="414"/>
      <c r="P27" s="504"/>
      <c r="Q27" s="420"/>
    </row>
    <row r="28" spans="2:17">
      <c r="B28" s="382" t="s">
        <v>1048</v>
      </c>
      <c r="C28" s="376" t="s">
        <v>1049</v>
      </c>
      <c r="D28" s="420" t="s">
        <v>227</v>
      </c>
      <c r="E28" s="28" t="s">
        <v>412</v>
      </c>
      <c r="F28" s="342">
        <f>'Cost Schedule'!$D$557</f>
        <v>275</v>
      </c>
      <c r="G28" s="342">
        <f>'Cost Schedule'!$D$557</f>
        <v>275</v>
      </c>
      <c r="H28" s="342">
        <f>'Cost Schedule'!$D$557</f>
        <v>275</v>
      </c>
      <c r="I28" s="342">
        <f>'Cost Schedule'!$D$557</f>
        <v>275</v>
      </c>
      <c r="J28" s="342">
        <f>'Cost Schedule'!$D$557</f>
        <v>275</v>
      </c>
      <c r="K28" s="342">
        <f>'Cost Schedule'!$D$557</f>
        <v>275</v>
      </c>
      <c r="L28" s="342">
        <f>'Cost Schedule'!$D$557</f>
        <v>275</v>
      </c>
      <c r="M28" s="342">
        <f>'Cost Schedule'!$D$557</f>
        <v>275</v>
      </c>
      <c r="N28" s="342">
        <f>'Cost Schedule'!$D$557</f>
        <v>275</v>
      </c>
      <c r="O28" s="342">
        <f>'Cost Schedule'!$D$557</f>
        <v>275</v>
      </c>
      <c r="P28" s="504"/>
      <c r="Q28" s="427"/>
    </row>
    <row r="29" spans="2:17">
      <c r="B29" s="386"/>
      <c r="C29" s="371"/>
      <c r="D29" s="337" t="s">
        <v>229</v>
      </c>
      <c r="E29" s="28" t="s">
        <v>412</v>
      </c>
      <c r="F29" s="414"/>
      <c r="G29" s="414"/>
      <c r="H29" s="414"/>
      <c r="I29" s="414"/>
      <c r="J29" s="414"/>
      <c r="K29" s="414"/>
      <c r="L29" s="414"/>
      <c r="M29" s="414"/>
      <c r="N29" s="414"/>
      <c r="O29" s="414"/>
      <c r="P29" s="504"/>
      <c r="Q29" s="420"/>
    </row>
    <row r="30" spans="2:17">
      <c r="B30" s="382" t="s">
        <v>1050</v>
      </c>
      <c r="C30" s="346" t="str">
        <f>C24</f>
        <v>Highwall</v>
      </c>
      <c r="D30" s="420" t="s">
        <v>146</v>
      </c>
      <c r="E30" s="28" t="s">
        <v>207</v>
      </c>
      <c r="F30" s="492">
        <f>F21*IF(F25="",F24,F25)</f>
        <v>0</v>
      </c>
      <c r="G30" s="492">
        <f t="shared" ref="G30:O30" si="10">G21*IF(G25="",G24,G25)</f>
        <v>0</v>
      </c>
      <c r="H30" s="492">
        <f t="shared" si="10"/>
        <v>0</v>
      </c>
      <c r="I30" s="492">
        <f t="shared" si="10"/>
        <v>0</v>
      </c>
      <c r="J30" s="492">
        <f t="shared" ref="J30:N30" si="11">J21*IF(J25="",J24,J25)</f>
        <v>0</v>
      </c>
      <c r="K30" s="492">
        <f t="shared" si="11"/>
        <v>0</v>
      </c>
      <c r="L30" s="492">
        <f t="shared" si="11"/>
        <v>0</v>
      </c>
      <c r="M30" s="492">
        <f t="shared" si="11"/>
        <v>0</v>
      </c>
      <c r="N30" s="492">
        <f t="shared" si="11"/>
        <v>0</v>
      </c>
      <c r="O30" s="492">
        <f t="shared" si="10"/>
        <v>0</v>
      </c>
      <c r="P30" s="504"/>
      <c r="Q30" s="420"/>
    </row>
    <row r="31" spans="2:17">
      <c r="B31" s="383"/>
      <c r="C31" s="384" t="str">
        <f>C26</f>
        <v>Open pit - cattle fence</v>
      </c>
      <c r="D31" s="420" t="s">
        <v>146</v>
      </c>
      <c r="E31" s="28" t="s">
        <v>207</v>
      </c>
      <c r="F31" s="492">
        <f>F22*IF(F27="",F26,F27)</f>
        <v>176748</v>
      </c>
      <c r="G31" s="492">
        <f t="shared" ref="G31:O31" si="12">G22*IF(G27="",G26,G27)</f>
        <v>0</v>
      </c>
      <c r="H31" s="492">
        <f t="shared" si="12"/>
        <v>0</v>
      </c>
      <c r="I31" s="492">
        <f t="shared" si="12"/>
        <v>0</v>
      </c>
      <c r="J31" s="492">
        <f t="shared" ref="J31:N31" si="13">J22*IF(J27="",J26,J27)</f>
        <v>0</v>
      </c>
      <c r="K31" s="492">
        <f t="shared" si="13"/>
        <v>0</v>
      </c>
      <c r="L31" s="492">
        <f t="shared" si="13"/>
        <v>0</v>
      </c>
      <c r="M31" s="492">
        <f t="shared" si="13"/>
        <v>0</v>
      </c>
      <c r="N31" s="492">
        <f t="shared" si="13"/>
        <v>0</v>
      </c>
      <c r="O31" s="492">
        <f t="shared" si="12"/>
        <v>0</v>
      </c>
      <c r="P31" s="504"/>
      <c r="Q31" s="420"/>
    </row>
    <row r="32" spans="2:17">
      <c r="B32" s="386"/>
      <c r="C32" s="384" t="str">
        <f t="shared" ref="C32" si="14">C28</f>
        <v>Whole pit</v>
      </c>
      <c r="D32" s="420" t="s">
        <v>146</v>
      </c>
      <c r="E32" s="28" t="s">
        <v>207</v>
      </c>
      <c r="F32" s="492">
        <f>F23*IF(F29="",F28,F29)</f>
        <v>2860</v>
      </c>
      <c r="G32" s="492">
        <f t="shared" ref="G32:O32" si="15">G23*IF(G29="",G28,G29)</f>
        <v>0</v>
      </c>
      <c r="H32" s="492">
        <f t="shared" si="15"/>
        <v>0</v>
      </c>
      <c r="I32" s="492">
        <f t="shared" si="15"/>
        <v>0</v>
      </c>
      <c r="J32" s="492">
        <f t="shared" ref="J32:N32" si="16">J23*IF(J29="",J28,J29)</f>
        <v>0</v>
      </c>
      <c r="K32" s="492">
        <f t="shared" si="16"/>
        <v>0</v>
      </c>
      <c r="L32" s="492">
        <f t="shared" si="16"/>
        <v>0</v>
      </c>
      <c r="M32" s="492">
        <f t="shared" si="16"/>
        <v>0</v>
      </c>
      <c r="N32" s="492">
        <f t="shared" si="16"/>
        <v>0</v>
      </c>
      <c r="O32" s="492">
        <f t="shared" si="15"/>
        <v>0</v>
      </c>
      <c r="P32" s="504"/>
      <c r="Q32" s="420"/>
    </row>
    <row r="33" spans="2:17" ht="12" thickBot="1">
      <c r="B33" s="573"/>
      <c r="C33" s="574"/>
      <c r="D33" s="552" t="str">
        <f>B13</f>
        <v>Construct Safety Bund and Install Fencing</v>
      </c>
      <c r="E33" s="62" t="s">
        <v>207</v>
      </c>
      <c r="F33" s="365">
        <f>F20+F30+F31+F32</f>
        <v>909004.83336295199</v>
      </c>
      <c r="G33" s="365">
        <f t="shared" ref="G33:O33" si="17">G20+G30+G31+G32</f>
        <v>0</v>
      </c>
      <c r="H33" s="365">
        <f t="shared" si="17"/>
        <v>0</v>
      </c>
      <c r="I33" s="365">
        <f t="shared" ref="I33" si="18">I20+I30+I31+I32</f>
        <v>0</v>
      </c>
      <c r="J33" s="365">
        <f t="shared" ref="J33" si="19">J20+J30+J31+J32</f>
        <v>0</v>
      </c>
      <c r="K33" s="365">
        <f t="shared" ref="K33" si="20">K20+K30+K31+K32</f>
        <v>0</v>
      </c>
      <c r="L33" s="365">
        <f t="shared" ref="L33" si="21">L20+L30+L31+L32</f>
        <v>0</v>
      </c>
      <c r="M33" s="365">
        <f t="shared" ref="M33" si="22">M20+M30+M31+M32</f>
        <v>0</v>
      </c>
      <c r="N33" s="365">
        <f t="shared" ref="N33" si="23">N20+N30+N31+N32</f>
        <v>0</v>
      </c>
      <c r="O33" s="365">
        <f t="shared" si="17"/>
        <v>0</v>
      </c>
      <c r="P33" s="504"/>
      <c r="Q33" s="420"/>
    </row>
    <row r="34" spans="2:17" ht="12" thickTop="1">
      <c r="B34" s="575" t="s">
        <v>1051</v>
      </c>
      <c r="C34" s="384" t="s">
        <v>1046</v>
      </c>
      <c r="D34" s="547" t="s">
        <v>307</v>
      </c>
      <c r="E34" s="28" t="s">
        <v>219</v>
      </c>
      <c r="F34" s="598">
        <v>400000</v>
      </c>
      <c r="G34" s="598"/>
      <c r="H34" s="598"/>
      <c r="I34" s="598"/>
      <c r="J34" s="598"/>
      <c r="K34" s="598"/>
      <c r="L34" s="598"/>
      <c r="M34" s="598"/>
      <c r="N34" s="598"/>
      <c r="O34" s="598"/>
      <c r="P34" s="504"/>
      <c r="Q34" s="420"/>
    </row>
    <row r="35" spans="2:17">
      <c r="B35" s="386"/>
      <c r="C35" s="384" t="s">
        <v>1052</v>
      </c>
      <c r="D35" s="547" t="s">
        <v>307</v>
      </c>
      <c r="E35" s="28" t="s">
        <v>219</v>
      </c>
      <c r="F35" s="599"/>
      <c r="G35" s="599"/>
      <c r="H35" s="599"/>
      <c r="I35" s="599"/>
      <c r="J35" s="599"/>
      <c r="K35" s="599"/>
      <c r="L35" s="599"/>
      <c r="M35" s="599"/>
      <c r="N35" s="599"/>
      <c r="O35" s="599"/>
      <c r="P35" s="504"/>
      <c r="Q35" s="420"/>
    </row>
    <row r="36" spans="2:17">
      <c r="B36" s="382" t="s">
        <v>1053</v>
      </c>
      <c r="C36" s="376" t="s">
        <v>1054</v>
      </c>
      <c r="D36" s="420" t="s">
        <v>227</v>
      </c>
      <c r="E36" s="28" t="s">
        <v>241</v>
      </c>
      <c r="F36" s="342">
        <f>'Cost Schedule'!$D$519</f>
        <v>2.0944686887236443</v>
      </c>
      <c r="G36" s="342">
        <f>'Cost Schedule'!$D$519</f>
        <v>2.0944686887236443</v>
      </c>
      <c r="H36" s="342">
        <f>'Cost Schedule'!$D$519</f>
        <v>2.0944686887236443</v>
      </c>
      <c r="I36" s="342">
        <f>'Cost Schedule'!$D$519</f>
        <v>2.0944686887236443</v>
      </c>
      <c r="J36" s="342">
        <f>'Cost Schedule'!$D$519</f>
        <v>2.0944686887236443</v>
      </c>
      <c r="K36" s="342">
        <f>'Cost Schedule'!$D$519</f>
        <v>2.0944686887236443</v>
      </c>
      <c r="L36" s="342">
        <f>'Cost Schedule'!$D$519</f>
        <v>2.0944686887236443</v>
      </c>
      <c r="M36" s="342">
        <f>'Cost Schedule'!$D$519</f>
        <v>2.0944686887236443</v>
      </c>
      <c r="N36" s="342">
        <f>'Cost Schedule'!$D$519</f>
        <v>2.0944686887236443</v>
      </c>
      <c r="O36" s="342">
        <f>'Cost Schedule'!$D$519</f>
        <v>2.0944686887236443</v>
      </c>
      <c r="P36" s="504"/>
      <c r="Q36" s="427"/>
    </row>
    <row r="37" spans="2:17">
      <c r="B37" s="383"/>
      <c r="C37" s="371"/>
      <c r="D37" s="337" t="s">
        <v>229</v>
      </c>
      <c r="E37" s="28" t="s">
        <v>241</v>
      </c>
      <c r="F37" s="414">
        <v>1</v>
      </c>
      <c r="G37" s="414"/>
      <c r="H37" s="414"/>
      <c r="I37" s="414"/>
      <c r="J37" s="414"/>
      <c r="K37" s="414"/>
      <c r="L37" s="414"/>
      <c r="M37" s="414"/>
      <c r="N37" s="414"/>
      <c r="O37" s="414"/>
      <c r="P37" s="504"/>
      <c r="Q37" s="420"/>
    </row>
    <row r="38" spans="2:17">
      <c r="B38" s="386"/>
      <c r="C38" s="377"/>
      <c r="D38" s="420" t="s">
        <v>146</v>
      </c>
      <c r="E38" s="28" t="s">
        <v>207</v>
      </c>
      <c r="F38" s="424">
        <f>(F34+F35)*IF(F37="",F36,F37)</f>
        <v>400000</v>
      </c>
      <c r="G38" s="424">
        <f t="shared" ref="G38:I38" si="24">(G34+G35)*IF(G37="",G36,G37)</f>
        <v>0</v>
      </c>
      <c r="H38" s="424">
        <f t="shared" si="24"/>
        <v>0</v>
      </c>
      <c r="I38" s="424">
        <f t="shared" si="24"/>
        <v>0</v>
      </c>
      <c r="J38" s="424">
        <f t="shared" ref="J38:O38" si="25">(J34+J35)*IF(J37="",J36,J37)</f>
        <v>0</v>
      </c>
      <c r="K38" s="424">
        <f t="shared" si="25"/>
        <v>0</v>
      </c>
      <c r="L38" s="424">
        <f t="shared" si="25"/>
        <v>0</v>
      </c>
      <c r="M38" s="424">
        <f t="shared" si="25"/>
        <v>0</v>
      </c>
      <c r="N38" s="424">
        <f t="shared" si="25"/>
        <v>0</v>
      </c>
      <c r="O38" s="424">
        <f t="shared" si="25"/>
        <v>0</v>
      </c>
      <c r="P38" s="504"/>
      <c r="Q38" s="420"/>
    </row>
    <row r="39" spans="2:17">
      <c r="B39" s="382" t="s">
        <v>1055</v>
      </c>
      <c r="C39" s="384" t="s">
        <v>1046</v>
      </c>
      <c r="D39" s="547" t="s">
        <v>307</v>
      </c>
      <c r="E39" s="28" t="s">
        <v>219</v>
      </c>
      <c r="F39" s="598">
        <v>700000</v>
      </c>
      <c r="G39" s="598"/>
      <c r="H39" s="598"/>
      <c r="I39" s="598"/>
      <c r="J39" s="598"/>
      <c r="K39" s="598"/>
      <c r="L39" s="598"/>
      <c r="M39" s="598"/>
      <c r="N39" s="598"/>
      <c r="O39" s="598"/>
      <c r="P39" s="504"/>
      <c r="Q39" s="420"/>
    </row>
    <row r="40" spans="2:17">
      <c r="B40" s="383"/>
      <c r="C40" s="384" t="s">
        <v>1052</v>
      </c>
      <c r="D40" s="547" t="s">
        <v>307</v>
      </c>
      <c r="E40" s="28" t="s">
        <v>219</v>
      </c>
      <c r="F40" s="600"/>
      <c r="G40" s="600"/>
      <c r="H40" s="600"/>
      <c r="I40" s="600"/>
      <c r="J40" s="600"/>
      <c r="K40" s="600"/>
      <c r="L40" s="600"/>
      <c r="M40" s="600"/>
      <c r="N40" s="600"/>
      <c r="O40" s="600"/>
      <c r="P40" s="504"/>
      <c r="Q40" s="420"/>
    </row>
    <row r="41" spans="2:17" ht="33.75">
      <c r="B41" s="383"/>
      <c r="C41" s="376" t="s">
        <v>1054</v>
      </c>
      <c r="D41" s="420" t="s">
        <v>442</v>
      </c>
      <c r="E41" s="28" t="s">
        <v>123</v>
      </c>
      <c r="F41" s="412" t="s">
        <v>1056</v>
      </c>
      <c r="G41" s="412" t="s">
        <v>1056</v>
      </c>
      <c r="H41" s="412" t="s">
        <v>1056</v>
      </c>
      <c r="I41" s="412" t="s">
        <v>1056</v>
      </c>
      <c r="J41" s="412" t="s">
        <v>1056</v>
      </c>
      <c r="K41" s="412" t="s">
        <v>1056</v>
      </c>
      <c r="L41" s="412" t="s">
        <v>1056</v>
      </c>
      <c r="M41" s="412" t="s">
        <v>1056</v>
      </c>
      <c r="N41" s="412" t="s">
        <v>1056</v>
      </c>
      <c r="O41" s="412" t="s">
        <v>1056</v>
      </c>
      <c r="P41" s="504"/>
      <c r="Q41" s="420"/>
    </row>
    <row r="42" spans="2:17">
      <c r="B42" s="383"/>
      <c r="C42" s="371"/>
      <c r="D42" s="420" t="s">
        <v>227</v>
      </c>
      <c r="E42" s="28" t="s">
        <v>241</v>
      </c>
      <c r="F42" s="342">
        <f t="shared" ref="F42:O42" si="26">_xlfn.XLOOKUP(F41,Dozer_push_names_CS,Dozer_push_rates_CS)</f>
        <v>0.82325581395348835</v>
      </c>
      <c r="G42" s="342">
        <f t="shared" si="26"/>
        <v>0.82325581395348835</v>
      </c>
      <c r="H42" s="342">
        <f t="shared" si="26"/>
        <v>0.82325581395348835</v>
      </c>
      <c r="I42" s="342">
        <f t="shared" si="26"/>
        <v>0.82325581395348835</v>
      </c>
      <c r="J42" s="342">
        <f t="shared" si="26"/>
        <v>0.82325581395348835</v>
      </c>
      <c r="K42" s="342">
        <f t="shared" si="26"/>
        <v>0.82325581395348835</v>
      </c>
      <c r="L42" s="342">
        <f t="shared" si="26"/>
        <v>0.82325581395348835</v>
      </c>
      <c r="M42" s="342">
        <f t="shared" si="26"/>
        <v>0.82325581395348835</v>
      </c>
      <c r="N42" s="342">
        <f t="shared" si="26"/>
        <v>0.82325581395348835</v>
      </c>
      <c r="O42" s="342">
        <f t="shared" si="26"/>
        <v>0.82325581395348835</v>
      </c>
      <c r="P42" s="504"/>
      <c r="Q42" s="427"/>
    </row>
    <row r="43" spans="2:17">
      <c r="B43" s="383"/>
      <c r="C43" s="371"/>
      <c r="D43" s="337" t="s">
        <v>229</v>
      </c>
      <c r="E43" s="28" t="s">
        <v>241</v>
      </c>
      <c r="F43" s="414"/>
      <c r="G43" s="414"/>
      <c r="H43" s="414"/>
      <c r="I43" s="414"/>
      <c r="J43" s="414"/>
      <c r="K43" s="414"/>
      <c r="L43" s="414"/>
      <c r="M43" s="414"/>
      <c r="N43" s="414"/>
      <c r="O43" s="414"/>
      <c r="P43" s="504"/>
      <c r="Q43" s="420"/>
    </row>
    <row r="44" spans="2:17">
      <c r="B44" s="386"/>
      <c r="C44" s="371"/>
      <c r="D44" s="420" t="s">
        <v>146</v>
      </c>
      <c r="E44" s="28" t="s">
        <v>207</v>
      </c>
      <c r="F44" s="378">
        <f>(F39+F40)*IF(F43="",F42,F43)</f>
        <v>576279.06976744183</v>
      </c>
      <c r="G44" s="378">
        <f t="shared" ref="G44:O44" si="27">(G39+G40)*IF(G43="",G42,G43)</f>
        <v>0</v>
      </c>
      <c r="H44" s="378">
        <f t="shared" si="27"/>
        <v>0</v>
      </c>
      <c r="I44" s="378">
        <f t="shared" ref="I44:N44" si="28">(I39+I40)*IF(I43="",I42,I43)</f>
        <v>0</v>
      </c>
      <c r="J44" s="378">
        <f t="shared" si="28"/>
        <v>0</v>
      </c>
      <c r="K44" s="378">
        <f t="shared" si="28"/>
        <v>0</v>
      </c>
      <c r="L44" s="378">
        <f t="shared" si="28"/>
        <v>0</v>
      </c>
      <c r="M44" s="378">
        <f t="shared" si="28"/>
        <v>0</v>
      </c>
      <c r="N44" s="378">
        <f t="shared" si="28"/>
        <v>0</v>
      </c>
      <c r="O44" s="378">
        <f t="shared" si="27"/>
        <v>0</v>
      </c>
      <c r="P44" s="504"/>
      <c r="Q44" s="420"/>
    </row>
    <row r="45" spans="2:17">
      <c r="B45" s="382" t="s">
        <v>1057</v>
      </c>
      <c r="C45" s="371"/>
      <c r="D45" s="420" t="s">
        <v>214</v>
      </c>
      <c r="E45" s="28" t="s">
        <v>299</v>
      </c>
      <c r="F45" s="410"/>
      <c r="G45" s="410"/>
      <c r="H45" s="410"/>
      <c r="I45" s="410"/>
      <c r="J45" s="410"/>
      <c r="K45" s="410"/>
      <c r="L45" s="410"/>
      <c r="M45" s="410"/>
      <c r="N45" s="410"/>
      <c r="O45" s="410"/>
      <c r="P45" s="504"/>
      <c r="Q45" s="420"/>
    </row>
    <row r="46" spans="2:17" ht="33.75">
      <c r="B46" s="383"/>
      <c r="C46" s="371"/>
      <c r="D46" s="420" t="s">
        <v>1058</v>
      </c>
      <c r="E46" s="28" t="s">
        <v>123</v>
      </c>
      <c r="F46" s="412" t="s">
        <v>737</v>
      </c>
      <c r="G46" s="412" t="s">
        <v>737</v>
      </c>
      <c r="H46" s="412" t="s">
        <v>737</v>
      </c>
      <c r="I46" s="412" t="s">
        <v>737</v>
      </c>
      <c r="J46" s="412" t="s">
        <v>737</v>
      </c>
      <c r="K46" s="412" t="s">
        <v>737</v>
      </c>
      <c r="L46" s="412" t="s">
        <v>737</v>
      </c>
      <c r="M46" s="412" t="s">
        <v>737</v>
      </c>
      <c r="N46" s="412" t="s">
        <v>737</v>
      </c>
      <c r="O46" s="412" t="s">
        <v>737</v>
      </c>
      <c r="P46" s="504"/>
      <c r="Q46" s="420"/>
    </row>
    <row r="47" spans="2:17">
      <c r="B47" s="383"/>
      <c r="C47" s="371"/>
      <c r="D47" s="420" t="s">
        <v>227</v>
      </c>
      <c r="E47" s="28" t="s">
        <v>329</v>
      </c>
      <c r="F47" s="342">
        <f t="shared" ref="F47:O47" si="29">_xlfn.XLOOKUP(F46,Dozer_shape_doze_for_drainage_names_CS,Dozer_shape_doze_for_drainage_rates_CS)</f>
        <v>6726.2274169792872</v>
      </c>
      <c r="G47" s="342">
        <f t="shared" si="29"/>
        <v>6726.2274169792872</v>
      </c>
      <c r="H47" s="342">
        <f t="shared" si="29"/>
        <v>6726.2274169792872</v>
      </c>
      <c r="I47" s="342">
        <f t="shared" si="29"/>
        <v>6726.2274169792872</v>
      </c>
      <c r="J47" s="342">
        <f t="shared" si="29"/>
        <v>6726.2274169792872</v>
      </c>
      <c r="K47" s="342">
        <f t="shared" si="29"/>
        <v>6726.2274169792872</v>
      </c>
      <c r="L47" s="342">
        <f t="shared" si="29"/>
        <v>6726.2274169792872</v>
      </c>
      <c r="M47" s="342">
        <f t="shared" si="29"/>
        <v>6726.2274169792872</v>
      </c>
      <c r="N47" s="342">
        <f t="shared" si="29"/>
        <v>6726.2274169792872</v>
      </c>
      <c r="O47" s="342">
        <f t="shared" si="29"/>
        <v>6726.2274169792872</v>
      </c>
      <c r="P47" s="504"/>
      <c r="Q47" s="427"/>
    </row>
    <row r="48" spans="2:17">
      <c r="B48" s="383"/>
      <c r="C48" s="371"/>
      <c r="D48" s="337" t="s">
        <v>229</v>
      </c>
      <c r="E48" s="28" t="s">
        <v>329</v>
      </c>
      <c r="F48" s="414"/>
      <c r="G48" s="414"/>
      <c r="H48" s="414"/>
      <c r="I48" s="414"/>
      <c r="J48" s="414"/>
      <c r="K48" s="414"/>
      <c r="L48" s="414"/>
      <c r="M48" s="414"/>
      <c r="N48" s="414"/>
      <c r="O48" s="414"/>
      <c r="P48" s="504"/>
      <c r="Q48" s="420"/>
    </row>
    <row r="49" spans="2:17">
      <c r="B49" s="386"/>
      <c r="C49" s="377"/>
      <c r="D49" s="420" t="s">
        <v>146</v>
      </c>
      <c r="E49" s="28" t="s">
        <v>207</v>
      </c>
      <c r="F49" s="378">
        <f>IF(F48="",F47,F48)*F45</f>
        <v>0</v>
      </c>
      <c r="G49" s="378">
        <f t="shared" ref="G49:H49" si="30">IF(G48="",G47,G48)*G45</f>
        <v>0</v>
      </c>
      <c r="H49" s="378">
        <f t="shared" si="30"/>
        <v>0</v>
      </c>
      <c r="I49" s="378">
        <f t="shared" ref="I49" si="31">IF(I48="",I47,I48)*I45</f>
        <v>0</v>
      </c>
      <c r="J49" s="378">
        <f t="shared" ref="J49" si="32">IF(J48="",J47,J48)*J45</f>
        <v>0</v>
      </c>
      <c r="K49" s="378">
        <f t="shared" ref="K49" si="33">IF(K48="",K47,K48)*K45</f>
        <v>0</v>
      </c>
      <c r="L49" s="378">
        <f t="shared" ref="L49" si="34">IF(L48="",L47,L48)*L45</f>
        <v>0</v>
      </c>
      <c r="M49" s="378">
        <f t="shared" ref="M49" si="35">IF(M48="",M47,M48)*M45</f>
        <v>0</v>
      </c>
      <c r="N49" s="378">
        <f t="shared" ref="N49" si="36">IF(N48="",N47,N48)*N45</f>
        <v>0</v>
      </c>
      <c r="O49" s="378">
        <f t="shared" ref="O49" si="37">IF(O48="",O47,O48)*O45</f>
        <v>0</v>
      </c>
      <c r="P49" s="504"/>
      <c r="Q49" s="420"/>
    </row>
    <row r="50" spans="2:17" ht="12" thickBot="1">
      <c r="B50" s="573"/>
      <c r="C50" s="574"/>
      <c r="D50" s="552" t="str">
        <f>B34</f>
        <v>Highwall and Benches Drill and Blast</v>
      </c>
      <c r="E50" s="72"/>
      <c r="F50" s="365">
        <f>F38+F44+F49</f>
        <v>976279.06976744183</v>
      </c>
      <c r="G50" s="365">
        <f>G38+G44+G49</f>
        <v>0</v>
      </c>
      <c r="H50" s="365">
        <f>H38+H44+H49</f>
        <v>0</v>
      </c>
      <c r="I50" s="365">
        <f t="shared" ref="I50:O50" si="38">I38+I44+I49</f>
        <v>0</v>
      </c>
      <c r="J50" s="365">
        <f t="shared" si="38"/>
        <v>0</v>
      </c>
      <c r="K50" s="365">
        <f t="shared" si="38"/>
        <v>0</v>
      </c>
      <c r="L50" s="365">
        <f t="shared" si="38"/>
        <v>0</v>
      </c>
      <c r="M50" s="365">
        <f t="shared" si="38"/>
        <v>0</v>
      </c>
      <c r="N50" s="365">
        <f t="shared" si="38"/>
        <v>0</v>
      </c>
      <c r="O50" s="365">
        <f t="shared" si="38"/>
        <v>0</v>
      </c>
      <c r="P50" s="504"/>
      <c r="Q50" s="420"/>
    </row>
    <row r="51" spans="2:17" ht="12" thickTop="1">
      <c r="B51" s="575" t="s">
        <v>1059</v>
      </c>
      <c r="C51" s="376" t="s">
        <v>1060</v>
      </c>
      <c r="D51" s="547" t="s">
        <v>307</v>
      </c>
      <c r="E51" s="28" t="s">
        <v>219</v>
      </c>
      <c r="F51" s="598"/>
      <c r="G51" s="598"/>
      <c r="H51" s="598"/>
      <c r="I51" s="598"/>
      <c r="J51" s="598"/>
      <c r="K51" s="598"/>
      <c r="L51" s="598"/>
      <c r="M51" s="598"/>
      <c r="N51" s="598"/>
      <c r="O51" s="598"/>
      <c r="P51" s="504"/>
      <c r="Q51" s="420"/>
    </row>
    <row r="52" spans="2:17" ht="33.75">
      <c r="B52" s="383"/>
      <c r="C52" s="371"/>
      <c r="D52" s="420" t="s">
        <v>442</v>
      </c>
      <c r="E52" s="28" t="s">
        <v>123</v>
      </c>
      <c r="F52" s="412" t="s">
        <v>1056</v>
      </c>
      <c r="G52" s="412" t="s">
        <v>1056</v>
      </c>
      <c r="H52" s="412" t="s">
        <v>1056</v>
      </c>
      <c r="I52" s="412" t="s">
        <v>1056</v>
      </c>
      <c r="J52" s="412" t="s">
        <v>1056</v>
      </c>
      <c r="K52" s="412" t="s">
        <v>1056</v>
      </c>
      <c r="L52" s="412" t="s">
        <v>1056</v>
      </c>
      <c r="M52" s="412" t="s">
        <v>1056</v>
      </c>
      <c r="N52" s="412" t="s">
        <v>1056</v>
      </c>
      <c r="O52" s="412" t="s">
        <v>1056</v>
      </c>
      <c r="P52" s="504"/>
      <c r="Q52" s="420"/>
    </row>
    <row r="53" spans="2:17">
      <c r="B53" s="383"/>
      <c r="C53" s="371"/>
      <c r="D53" s="420" t="s">
        <v>227</v>
      </c>
      <c r="E53" s="28" t="s">
        <v>241</v>
      </c>
      <c r="F53" s="342">
        <f t="shared" ref="F53:O53" si="39">_xlfn.XLOOKUP(F52,Dozer_push_names_CS,Dozer_push_rates_CS)</f>
        <v>0.82325581395348835</v>
      </c>
      <c r="G53" s="342">
        <f t="shared" si="39"/>
        <v>0.82325581395348835</v>
      </c>
      <c r="H53" s="342">
        <f t="shared" si="39"/>
        <v>0.82325581395348835</v>
      </c>
      <c r="I53" s="342">
        <f t="shared" si="39"/>
        <v>0.82325581395348835</v>
      </c>
      <c r="J53" s="342">
        <f t="shared" si="39"/>
        <v>0.82325581395348835</v>
      </c>
      <c r="K53" s="342">
        <f t="shared" si="39"/>
        <v>0.82325581395348835</v>
      </c>
      <c r="L53" s="342">
        <f t="shared" si="39"/>
        <v>0.82325581395348835</v>
      </c>
      <c r="M53" s="342">
        <f t="shared" si="39"/>
        <v>0.82325581395348835</v>
      </c>
      <c r="N53" s="342">
        <f t="shared" si="39"/>
        <v>0.82325581395348835</v>
      </c>
      <c r="O53" s="342">
        <f t="shared" si="39"/>
        <v>0.82325581395348835</v>
      </c>
      <c r="P53" s="504"/>
      <c r="Q53" s="427"/>
    </row>
    <row r="54" spans="2:17">
      <c r="B54" s="383"/>
      <c r="C54" s="371"/>
      <c r="D54" s="337" t="s">
        <v>229</v>
      </c>
      <c r="E54" s="28" t="s">
        <v>241</v>
      </c>
      <c r="F54" s="414"/>
      <c r="G54" s="414"/>
      <c r="H54" s="414"/>
      <c r="I54" s="414"/>
      <c r="J54" s="414"/>
      <c r="K54" s="414"/>
      <c r="L54" s="414"/>
      <c r="M54" s="414"/>
      <c r="N54" s="414"/>
      <c r="O54" s="414"/>
      <c r="P54" s="504"/>
      <c r="Q54" s="420"/>
    </row>
    <row r="55" spans="2:17">
      <c r="B55" s="386"/>
      <c r="C55" s="371"/>
      <c r="D55" s="420" t="s">
        <v>146</v>
      </c>
      <c r="E55" s="28" t="s">
        <v>207</v>
      </c>
      <c r="F55" s="378">
        <f>IF(F54="",F53,F54)*F51</f>
        <v>0</v>
      </c>
      <c r="G55" s="378">
        <f t="shared" ref="G55:O55" si="40">IF(G54="",G53,G54)*G51</f>
        <v>0</v>
      </c>
      <c r="H55" s="378">
        <f t="shared" si="40"/>
        <v>0</v>
      </c>
      <c r="I55" s="378">
        <f t="shared" si="40"/>
        <v>0</v>
      </c>
      <c r="J55" s="378">
        <f t="shared" ref="J55:N55" si="41">IF(J54="",J53,J54)*J51</f>
        <v>0</v>
      </c>
      <c r="K55" s="378">
        <f t="shared" si="41"/>
        <v>0</v>
      </c>
      <c r="L55" s="378">
        <f t="shared" si="41"/>
        <v>0</v>
      </c>
      <c r="M55" s="378">
        <f t="shared" si="41"/>
        <v>0</v>
      </c>
      <c r="N55" s="378">
        <f t="shared" si="41"/>
        <v>0</v>
      </c>
      <c r="O55" s="378">
        <f t="shared" si="40"/>
        <v>0</v>
      </c>
      <c r="P55" s="504"/>
      <c r="Q55" s="420"/>
    </row>
    <row r="56" spans="2:17">
      <c r="B56" s="382" t="s">
        <v>1057</v>
      </c>
      <c r="C56" s="371"/>
      <c r="D56" s="420" t="s">
        <v>214</v>
      </c>
      <c r="E56" s="28" t="s">
        <v>299</v>
      </c>
      <c r="F56" s="410"/>
      <c r="G56" s="410"/>
      <c r="H56" s="410"/>
      <c r="I56" s="410"/>
      <c r="J56" s="410"/>
      <c r="K56" s="410"/>
      <c r="L56" s="410"/>
      <c r="M56" s="410"/>
      <c r="N56" s="410"/>
      <c r="O56" s="410"/>
      <c r="P56" s="504"/>
      <c r="Q56" s="420"/>
    </row>
    <row r="57" spans="2:17" ht="33.75">
      <c r="B57" s="383"/>
      <c r="C57" s="371"/>
      <c r="D57" s="420" t="s">
        <v>1058</v>
      </c>
      <c r="E57" s="28" t="s">
        <v>123</v>
      </c>
      <c r="F57" s="412" t="s">
        <v>737</v>
      </c>
      <c r="G57" s="412" t="s">
        <v>737</v>
      </c>
      <c r="H57" s="412" t="s">
        <v>737</v>
      </c>
      <c r="I57" s="412" t="s">
        <v>737</v>
      </c>
      <c r="J57" s="412" t="s">
        <v>737</v>
      </c>
      <c r="K57" s="412" t="s">
        <v>737</v>
      </c>
      <c r="L57" s="412" t="s">
        <v>737</v>
      </c>
      <c r="M57" s="412" t="s">
        <v>737</v>
      </c>
      <c r="N57" s="412" t="s">
        <v>737</v>
      </c>
      <c r="O57" s="412" t="s">
        <v>737</v>
      </c>
      <c r="P57" s="504"/>
      <c r="Q57" s="420"/>
    </row>
    <row r="58" spans="2:17">
      <c r="B58" s="383"/>
      <c r="C58" s="371"/>
      <c r="D58" s="420" t="s">
        <v>227</v>
      </c>
      <c r="E58" s="28" t="s">
        <v>329</v>
      </c>
      <c r="F58" s="342">
        <f t="shared" ref="F58:O58" si="42">_xlfn.XLOOKUP(F57,Dozer_shape_doze_for_drainage_names_CS,Dozer_shape_doze_for_drainage_rates_CS)</f>
        <v>6726.2274169792872</v>
      </c>
      <c r="G58" s="342">
        <f t="shared" si="42"/>
        <v>6726.2274169792872</v>
      </c>
      <c r="H58" s="342">
        <f t="shared" si="42"/>
        <v>6726.2274169792872</v>
      </c>
      <c r="I58" s="342">
        <f t="shared" si="42"/>
        <v>6726.2274169792872</v>
      </c>
      <c r="J58" s="342">
        <f t="shared" si="42"/>
        <v>6726.2274169792872</v>
      </c>
      <c r="K58" s="342">
        <f t="shared" si="42"/>
        <v>6726.2274169792872</v>
      </c>
      <c r="L58" s="342">
        <f t="shared" si="42"/>
        <v>6726.2274169792872</v>
      </c>
      <c r="M58" s="342">
        <f t="shared" si="42"/>
        <v>6726.2274169792872</v>
      </c>
      <c r="N58" s="342">
        <f t="shared" si="42"/>
        <v>6726.2274169792872</v>
      </c>
      <c r="O58" s="342">
        <f t="shared" si="42"/>
        <v>6726.2274169792872</v>
      </c>
      <c r="P58" s="504"/>
      <c r="Q58" s="427"/>
    </row>
    <row r="59" spans="2:17">
      <c r="B59" s="383"/>
      <c r="C59" s="371"/>
      <c r="D59" s="337" t="s">
        <v>229</v>
      </c>
      <c r="E59" s="28" t="s">
        <v>329</v>
      </c>
      <c r="F59" s="414"/>
      <c r="G59" s="414"/>
      <c r="H59" s="414"/>
      <c r="I59" s="414"/>
      <c r="J59" s="414"/>
      <c r="K59" s="414"/>
      <c r="L59" s="414"/>
      <c r="M59" s="414"/>
      <c r="N59" s="414"/>
      <c r="O59" s="414"/>
      <c r="P59" s="504"/>
      <c r="Q59" s="420"/>
    </row>
    <row r="60" spans="2:17">
      <c r="B60" s="386"/>
      <c r="C60" s="371"/>
      <c r="D60" s="420" t="s">
        <v>146</v>
      </c>
      <c r="E60" s="28" t="s">
        <v>207</v>
      </c>
      <c r="F60" s="378">
        <f>IF(F59="",F58,F59)*F56</f>
        <v>0</v>
      </c>
      <c r="G60" s="378">
        <f t="shared" ref="G60:O60" si="43">IF(G59="",G58,G59)*G56</f>
        <v>0</v>
      </c>
      <c r="H60" s="378">
        <f t="shared" si="43"/>
        <v>0</v>
      </c>
      <c r="I60" s="378">
        <f t="shared" si="43"/>
        <v>0</v>
      </c>
      <c r="J60" s="378">
        <f t="shared" ref="J60:N60" si="44">IF(J59="",J58,J59)*J56</f>
        <v>0</v>
      </c>
      <c r="K60" s="378">
        <f t="shared" si="44"/>
        <v>0</v>
      </c>
      <c r="L60" s="378">
        <f t="shared" si="44"/>
        <v>0</v>
      </c>
      <c r="M60" s="378">
        <f t="shared" si="44"/>
        <v>0</v>
      </c>
      <c r="N60" s="378">
        <f t="shared" si="44"/>
        <v>0</v>
      </c>
      <c r="O60" s="378">
        <f t="shared" si="43"/>
        <v>0</v>
      </c>
      <c r="P60" s="504"/>
      <c r="Q60" s="420"/>
    </row>
    <row r="61" spans="2:17">
      <c r="B61" s="382" t="s">
        <v>1061</v>
      </c>
      <c r="C61" s="371"/>
      <c r="D61" s="420" t="s">
        <v>307</v>
      </c>
      <c r="E61" s="28" t="s">
        <v>219</v>
      </c>
      <c r="F61" s="598"/>
      <c r="G61" s="598"/>
      <c r="H61" s="598"/>
      <c r="I61" s="598"/>
      <c r="J61" s="598"/>
      <c r="K61" s="598"/>
      <c r="L61" s="598"/>
      <c r="M61" s="598"/>
      <c r="N61" s="598"/>
      <c r="O61" s="598"/>
      <c r="P61" s="504"/>
      <c r="Q61" s="420"/>
    </row>
    <row r="62" spans="2:17" ht="22.5">
      <c r="B62" s="383"/>
      <c r="C62" s="371"/>
      <c r="D62" s="576" t="s">
        <v>1062</v>
      </c>
      <c r="E62" s="28" t="s">
        <v>123</v>
      </c>
      <c r="F62" s="412" t="s">
        <v>1063</v>
      </c>
      <c r="G62" s="412" t="s">
        <v>1063</v>
      </c>
      <c r="H62" s="412" t="s">
        <v>1063</v>
      </c>
      <c r="I62" s="412" t="s">
        <v>1063</v>
      </c>
      <c r="J62" s="412" t="s">
        <v>1063</v>
      </c>
      <c r="K62" s="412" t="s">
        <v>1063</v>
      </c>
      <c r="L62" s="412" t="s">
        <v>1063</v>
      </c>
      <c r="M62" s="412" t="s">
        <v>1063</v>
      </c>
      <c r="N62" s="412" t="s">
        <v>1063</v>
      </c>
      <c r="O62" s="412" t="s">
        <v>1063</v>
      </c>
      <c r="P62" s="504"/>
      <c r="Q62" s="420"/>
    </row>
    <row r="63" spans="2:17">
      <c r="B63" s="383"/>
      <c r="C63" s="371"/>
      <c r="D63" s="420" t="s">
        <v>227</v>
      </c>
      <c r="E63" s="28" t="s">
        <v>241</v>
      </c>
      <c r="F63" s="342">
        <f t="shared" ref="F63:O63" si="45">_xlfn.XLOOKUP(F62,Load_haul_fill_names_CS,Load_haul_fill_rates_CS)</f>
        <v>5.7855619567513541</v>
      </c>
      <c r="G63" s="342">
        <f t="shared" si="45"/>
        <v>5.7855619567513541</v>
      </c>
      <c r="H63" s="342">
        <f t="shared" si="45"/>
        <v>5.7855619567513541</v>
      </c>
      <c r="I63" s="342">
        <f t="shared" si="45"/>
        <v>5.7855619567513541</v>
      </c>
      <c r="J63" s="342">
        <f t="shared" si="45"/>
        <v>5.7855619567513541</v>
      </c>
      <c r="K63" s="342">
        <f t="shared" si="45"/>
        <v>5.7855619567513541</v>
      </c>
      <c r="L63" s="342">
        <f t="shared" si="45"/>
        <v>5.7855619567513541</v>
      </c>
      <c r="M63" s="342">
        <f t="shared" si="45"/>
        <v>5.7855619567513541</v>
      </c>
      <c r="N63" s="342">
        <f t="shared" si="45"/>
        <v>5.7855619567513541</v>
      </c>
      <c r="O63" s="342">
        <f t="shared" si="45"/>
        <v>5.7855619567513541</v>
      </c>
      <c r="P63" s="504"/>
      <c r="Q63" s="427"/>
    </row>
    <row r="64" spans="2:17">
      <c r="B64" s="383"/>
      <c r="C64" s="371"/>
      <c r="D64" s="337" t="s">
        <v>229</v>
      </c>
      <c r="E64" s="28" t="s">
        <v>241</v>
      </c>
      <c r="F64" s="414"/>
      <c r="G64" s="414"/>
      <c r="H64" s="414"/>
      <c r="I64" s="414"/>
      <c r="J64" s="414"/>
      <c r="K64" s="414"/>
      <c r="L64" s="414"/>
      <c r="M64" s="414"/>
      <c r="N64" s="414"/>
      <c r="O64" s="414"/>
      <c r="P64" s="504"/>
      <c r="Q64" s="420"/>
    </row>
    <row r="65" spans="2:17">
      <c r="B65" s="383"/>
      <c r="C65" s="377"/>
      <c r="D65" s="420" t="s">
        <v>146</v>
      </c>
      <c r="E65" s="28" t="s">
        <v>207</v>
      </c>
      <c r="F65" s="424">
        <f>IF(F64="",F63,F64)*F61</f>
        <v>0</v>
      </c>
      <c r="G65" s="424">
        <f t="shared" ref="G65:O65" si="46">IF(G64="",G63,G64)*G61</f>
        <v>0</v>
      </c>
      <c r="H65" s="424">
        <f t="shared" si="46"/>
        <v>0</v>
      </c>
      <c r="I65" s="424">
        <f t="shared" si="46"/>
        <v>0</v>
      </c>
      <c r="J65" s="424">
        <f t="shared" ref="J65:N65" si="47">IF(J64="",J63,J64)*J61</f>
        <v>0</v>
      </c>
      <c r="K65" s="424">
        <f t="shared" si="47"/>
        <v>0</v>
      </c>
      <c r="L65" s="424">
        <f t="shared" si="47"/>
        <v>0</v>
      </c>
      <c r="M65" s="424">
        <f t="shared" si="47"/>
        <v>0</v>
      </c>
      <c r="N65" s="424">
        <f t="shared" si="47"/>
        <v>0</v>
      </c>
      <c r="O65" s="424">
        <f t="shared" si="46"/>
        <v>0</v>
      </c>
      <c r="P65" s="504"/>
      <c r="Q65" s="420"/>
    </row>
    <row r="66" spans="2:17" ht="12" thickBot="1">
      <c r="B66" s="573"/>
      <c r="C66" s="574"/>
      <c r="D66" s="552" t="str">
        <f>B51</f>
        <v>Low Wall to Make Safe</v>
      </c>
      <c r="E66" s="72"/>
      <c r="F66" s="365">
        <f>F55+F60+F65</f>
        <v>0</v>
      </c>
      <c r="G66" s="365">
        <f>G55+G60+G65</f>
        <v>0</v>
      </c>
      <c r="H66" s="365">
        <f>H55+H60+H65</f>
        <v>0</v>
      </c>
      <c r="I66" s="365">
        <f t="shared" ref="I66:N66" si="48">I55+I60+I65</f>
        <v>0</v>
      </c>
      <c r="J66" s="365">
        <f t="shared" si="48"/>
        <v>0</v>
      </c>
      <c r="K66" s="365">
        <f t="shared" si="48"/>
        <v>0</v>
      </c>
      <c r="L66" s="365">
        <f t="shared" si="48"/>
        <v>0</v>
      </c>
      <c r="M66" s="365">
        <f t="shared" si="48"/>
        <v>0</v>
      </c>
      <c r="N66" s="365">
        <f t="shared" si="48"/>
        <v>0</v>
      </c>
      <c r="O66" s="365">
        <f>O55+O60+O65</f>
        <v>0</v>
      </c>
      <c r="P66" s="504"/>
      <c r="Q66" s="420"/>
    </row>
    <row r="67" spans="2:17" ht="12" thickTop="1">
      <c r="B67" s="575" t="s">
        <v>1064</v>
      </c>
      <c r="C67" s="384" t="s">
        <v>1065</v>
      </c>
      <c r="D67" s="420" t="s">
        <v>307</v>
      </c>
      <c r="E67" s="28" t="s">
        <v>219</v>
      </c>
      <c r="F67" s="598"/>
      <c r="G67" s="598"/>
      <c r="H67" s="598"/>
      <c r="I67" s="598"/>
      <c r="J67" s="598"/>
      <c r="K67" s="598"/>
      <c r="L67" s="598"/>
      <c r="M67" s="598"/>
      <c r="N67" s="598"/>
      <c r="O67" s="598"/>
      <c r="P67" s="504"/>
      <c r="Q67" s="420"/>
    </row>
    <row r="68" spans="2:17">
      <c r="B68" s="383"/>
      <c r="C68" s="384" t="s">
        <v>757</v>
      </c>
      <c r="D68" s="420" t="s">
        <v>307</v>
      </c>
      <c r="E68" s="28" t="s">
        <v>219</v>
      </c>
      <c r="F68" s="598"/>
      <c r="G68" s="598"/>
      <c r="H68" s="598"/>
      <c r="I68" s="598"/>
      <c r="J68" s="598"/>
      <c r="K68" s="598"/>
      <c r="L68" s="598"/>
      <c r="M68" s="598"/>
      <c r="N68" s="598"/>
      <c r="O68" s="598"/>
      <c r="P68" s="504"/>
      <c r="Q68" s="420"/>
    </row>
    <row r="69" spans="2:17">
      <c r="B69" s="383"/>
      <c r="C69" s="376" t="s">
        <v>1066</v>
      </c>
      <c r="D69" s="420" t="s">
        <v>307</v>
      </c>
      <c r="E69" s="28" t="s">
        <v>219</v>
      </c>
      <c r="F69" s="367">
        <f>F67+F68</f>
        <v>0</v>
      </c>
      <c r="G69" s="367">
        <f t="shared" ref="G69:H69" si="49">G67+G68</f>
        <v>0</v>
      </c>
      <c r="H69" s="367">
        <f t="shared" si="49"/>
        <v>0</v>
      </c>
      <c r="I69" s="367">
        <f t="shared" ref="I69:O69" si="50">I67+I68</f>
        <v>0</v>
      </c>
      <c r="J69" s="367">
        <f t="shared" si="50"/>
        <v>0</v>
      </c>
      <c r="K69" s="367">
        <f t="shared" si="50"/>
        <v>0</v>
      </c>
      <c r="L69" s="367">
        <f t="shared" si="50"/>
        <v>0</v>
      </c>
      <c r="M69" s="367">
        <f t="shared" si="50"/>
        <v>0</v>
      </c>
      <c r="N69" s="367">
        <f t="shared" si="50"/>
        <v>0</v>
      </c>
      <c r="O69" s="367">
        <f t="shared" si="50"/>
        <v>0</v>
      </c>
      <c r="P69" s="504"/>
      <c r="Q69" s="420"/>
    </row>
    <row r="70" spans="2:17">
      <c r="B70" s="383"/>
      <c r="C70" s="371"/>
      <c r="D70" s="420" t="s">
        <v>324</v>
      </c>
      <c r="E70" s="28" t="s">
        <v>123</v>
      </c>
      <c r="F70" s="412" t="s">
        <v>1067</v>
      </c>
      <c r="G70" s="412" t="s">
        <v>1068</v>
      </c>
      <c r="H70" s="412" t="s">
        <v>1067</v>
      </c>
      <c r="I70" s="412" t="s">
        <v>1068</v>
      </c>
      <c r="J70" s="412" t="s">
        <v>1068</v>
      </c>
      <c r="K70" s="412" t="s">
        <v>1068</v>
      </c>
      <c r="L70" s="412" t="s">
        <v>1068</v>
      </c>
      <c r="M70" s="412" t="s">
        <v>1068</v>
      </c>
      <c r="N70" s="412" t="s">
        <v>1068</v>
      </c>
      <c r="O70" s="412" t="s">
        <v>1068</v>
      </c>
      <c r="P70" s="504"/>
      <c r="Q70" s="420"/>
    </row>
    <row r="71" spans="2:17">
      <c r="B71" s="383"/>
      <c r="C71" s="371"/>
      <c r="D71" s="420" t="s">
        <v>1069</v>
      </c>
      <c r="F71" s="601">
        <v>1</v>
      </c>
      <c r="G71" s="601">
        <v>0</v>
      </c>
      <c r="H71" s="601">
        <v>0.7</v>
      </c>
      <c r="I71" s="601">
        <v>1</v>
      </c>
      <c r="J71" s="601">
        <v>1</v>
      </c>
      <c r="K71" s="601">
        <v>1</v>
      </c>
      <c r="L71" s="601">
        <v>1</v>
      </c>
      <c r="M71" s="601">
        <v>1</v>
      </c>
      <c r="N71" s="601">
        <v>1</v>
      </c>
      <c r="O71" s="601">
        <v>1</v>
      </c>
      <c r="P71" s="504"/>
      <c r="Q71" s="420"/>
    </row>
    <row r="72" spans="2:17">
      <c r="B72" s="383"/>
      <c r="C72" s="371"/>
      <c r="D72" s="420" t="s">
        <v>1070</v>
      </c>
      <c r="E72" s="28" t="s">
        <v>219</v>
      </c>
      <c r="F72" s="367">
        <f>F71*F69</f>
        <v>0</v>
      </c>
      <c r="G72" s="367">
        <f t="shared" ref="G72:O72" si="51">G71*G69</f>
        <v>0</v>
      </c>
      <c r="H72" s="367">
        <f t="shared" si="51"/>
        <v>0</v>
      </c>
      <c r="I72" s="367">
        <f t="shared" si="51"/>
        <v>0</v>
      </c>
      <c r="J72" s="367">
        <f t="shared" si="51"/>
        <v>0</v>
      </c>
      <c r="K72" s="367">
        <f t="shared" si="51"/>
        <v>0</v>
      </c>
      <c r="L72" s="367">
        <f t="shared" si="51"/>
        <v>0</v>
      </c>
      <c r="M72" s="367">
        <f t="shared" si="51"/>
        <v>0</v>
      </c>
      <c r="N72" s="367">
        <f t="shared" si="51"/>
        <v>0</v>
      </c>
      <c r="O72" s="367">
        <f t="shared" si="51"/>
        <v>0</v>
      </c>
      <c r="P72" s="504"/>
      <c r="Q72" s="420"/>
    </row>
    <row r="73" spans="2:17">
      <c r="B73" s="383"/>
      <c r="C73" s="371"/>
      <c r="D73" s="420" t="s">
        <v>1071</v>
      </c>
      <c r="E73" s="28" t="s">
        <v>219</v>
      </c>
      <c r="F73" s="367">
        <f>F69-F72</f>
        <v>0</v>
      </c>
      <c r="G73" s="367">
        <f t="shared" ref="G73:O73" si="52">G69-G72</f>
        <v>0</v>
      </c>
      <c r="H73" s="367">
        <f t="shared" si="52"/>
        <v>0</v>
      </c>
      <c r="I73" s="367">
        <f t="shared" si="52"/>
        <v>0</v>
      </c>
      <c r="J73" s="367">
        <f t="shared" si="52"/>
        <v>0</v>
      </c>
      <c r="K73" s="367">
        <f t="shared" si="52"/>
        <v>0</v>
      </c>
      <c r="L73" s="367">
        <f t="shared" si="52"/>
        <v>0</v>
      </c>
      <c r="M73" s="367">
        <f t="shared" si="52"/>
        <v>0</v>
      </c>
      <c r="N73" s="367">
        <f t="shared" si="52"/>
        <v>0</v>
      </c>
      <c r="O73" s="367">
        <f t="shared" si="52"/>
        <v>0</v>
      </c>
      <c r="P73" s="504"/>
      <c r="Q73" s="420"/>
    </row>
    <row r="74" spans="2:17" ht="33.75">
      <c r="B74" s="383"/>
      <c r="C74" s="371"/>
      <c r="D74" s="420" t="s">
        <v>1072</v>
      </c>
      <c r="E74" s="28" t="s">
        <v>123</v>
      </c>
      <c r="F74" s="412" t="s">
        <v>1073</v>
      </c>
      <c r="G74" s="412" t="s">
        <v>1073</v>
      </c>
      <c r="H74" s="412" t="s">
        <v>1073</v>
      </c>
      <c r="I74" s="412" t="s">
        <v>1073</v>
      </c>
      <c r="J74" s="412" t="s">
        <v>1073</v>
      </c>
      <c r="K74" s="412" t="s">
        <v>1073</v>
      </c>
      <c r="L74" s="412" t="s">
        <v>1073</v>
      </c>
      <c r="M74" s="412" t="s">
        <v>1073</v>
      </c>
      <c r="N74" s="412" t="s">
        <v>1073</v>
      </c>
      <c r="O74" s="412" t="s">
        <v>1073</v>
      </c>
      <c r="P74" s="504"/>
      <c r="Q74" s="420"/>
    </row>
    <row r="75" spans="2:17">
      <c r="B75" s="383"/>
      <c r="C75" s="371"/>
      <c r="D75" s="420" t="s">
        <v>1074</v>
      </c>
      <c r="E75" s="28" t="s">
        <v>241</v>
      </c>
      <c r="F75" s="342">
        <f t="shared" ref="F75:O75" si="53">_xlfn.XLOOKUP(F74,Load_haul_fill_names_CS,Load_haul_fill_rates_CS)</f>
        <v>4.4075815645944907</v>
      </c>
      <c r="G75" s="342">
        <f t="shared" si="53"/>
        <v>4.4075815645944907</v>
      </c>
      <c r="H75" s="342">
        <f t="shared" si="53"/>
        <v>4.4075815645944907</v>
      </c>
      <c r="I75" s="342">
        <f t="shared" si="53"/>
        <v>4.4075815645944907</v>
      </c>
      <c r="J75" s="342">
        <f t="shared" si="53"/>
        <v>4.4075815645944907</v>
      </c>
      <c r="K75" s="342">
        <f t="shared" si="53"/>
        <v>4.4075815645944907</v>
      </c>
      <c r="L75" s="342">
        <f t="shared" si="53"/>
        <v>4.4075815645944907</v>
      </c>
      <c r="M75" s="342">
        <f t="shared" si="53"/>
        <v>4.4075815645944907</v>
      </c>
      <c r="N75" s="342">
        <f t="shared" si="53"/>
        <v>4.4075815645944907</v>
      </c>
      <c r="O75" s="342">
        <f t="shared" si="53"/>
        <v>4.4075815645944907</v>
      </c>
      <c r="P75" s="504"/>
      <c r="Q75" s="427"/>
    </row>
    <row r="76" spans="2:17">
      <c r="B76" s="383"/>
      <c r="C76" s="371"/>
      <c r="D76" s="337" t="s">
        <v>1075</v>
      </c>
      <c r="E76" s="28" t="s">
        <v>241</v>
      </c>
      <c r="F76" s="414"/>
      <c r="G76" s="414"/>
      <c r="H76" s="414"/>
      <c r="I76" s="414"/>
      <c r="J76" s="414"/>
      <c r="K76" s="414"/>
      <c r="L76" s="414"/>
      <c r="M76" s="414"/>
      <c r="N76" s="414"/>
      <c r="O76" s="415"/>
      <c r="P76" s="504"/>
      <c r="Q76" s="420"/>
    </row>
    <row r="77" spans="2:17">
      <c r="B77" s="383"/>
      <c r="C77" s="371"/>
      <c r="D77" s="420" t="s">
        <v>1076</v>
      </c>
      <c r="E77" s="28" t="s">
        <v>207</v>
      </c>
      <c r="F77" s="378">
        <f>IF(F76="",F75,F76)*F72</f>
        <v>0</v>
      </c>
      <c r="G77" s="378">
        <f t="shared" ref="G77:O77" si="54">IF(G76="",G75,G76)*G72</f>
        <v>0</v>
      </c>
      <c r="H77" s="378">
        <f t="shared" si="54"/>
        <v>0</v>
      </c>
      <c r="I77" s="378">
        <f t="shared" si="54"/>
        <v>0</v>
      </c>
      <c r="J77" s="378">
        <f t="shared" si="54"/>
        <v>0</v>
      </c>
      <c r="K77" s="378">
        <f t="shared" si="54"/>
        <v>0</v>
      </c>
      <c r="L77" s="378">
        <f t="shared" si="54"/>
        <v>0</v>
      </c>
      <c r="M77" s="378">
        <f t="shared" si="54"/>
        <v>0</v>
      </c>
      <c r="N77" s="378">
        <f t="shared" si="54"/>
        <v>0</v>
      </c>
      <c r="O77" s="378">
        <f t="shared" si="54"/>
        <v>0</v>
      </c>
      <c r="P77" s="504"/>
      <c r="Q77" s="420"/>
    </row>
    <row r="78" spans="2:17">
      <c r="B78" s="383"/>
      <c r="C78" s="371"/>
      <c r="D78" s="420" t="s">
        <v>543</v>
      </c>
      <c r="E78" s="28" t="s">
        <v>211</v>
      </c>
      <c r="F78" s="412" t="s">
        <v>545</v>
      </c>
      <c r="G78" s="412" t="s">
        <v>545</v>
      </c>
      <c r="H78" s="412" t="s">
        <v>545</v>
      </c>
      <c r="I78" s="412" t="s">
        <v>545</v>
      </c>
      <c r="J78" s="412" t="s">
        <v>545</v>
      </c>
      <c r="K78" s="412" t="s">
        <v>545</v>
      </c>
      <c r="L78" s="412" t="s">
        <v>545</v>
      </c>
      <c r="M78" s="412" t="s">
        <v>545</v>
      </c>
      <c r="N78" s="412" t="s">
        <v>545</v>
      </c>
      <c r="O78" s="412" t="s">
        <v>545</v>
      </c>
      <c r="P78" s="504"/>
      <c r="Q78" s="420"/>
    </row>
    <row r="79" spans="2:17">
      <c r="B79" s="383"/>
      <c r="C79" s="371"/>
      <c r="D79" s="420" t="s">
        <v>546</v>
      </c>
      <c r="E79" s="28" t="s">
        <v>1077</v>
      </c>
      <c r="F79" s="342">
        <f t="shared" ref="F79:O79" si="55">_xlfn.XLOOKUP(F78,Long_haul_soil_amend_names_volume_CS,Long_haul_soil_amend_rates_volume_CS)</f>
        <v>0.22675068293571296</v>
      </c>
      <c r="G79" s="342">
        <f t="shared" si="55"/>
        <v>0.22675068293571296</v>
      </c>
      <c r="H79" s="342">
        <f t="shared" si="55"/>
        <v>0.22675068293571296</v>
      </c>
      <c r="I79" s="342">
        <f t="shared" si="55"/>
        <v>0.22675068293571296</v>
      </c>
      <c r="J79" s="342">
        <f t="shared" si="55"/>
        <v>0.22675068293571296</v>
      </c>
      <c r="K79" s="342">
        <f t="shared" si="55"/>
        <v>0.22675068293571296</v>
      </c>
      <c r="L79" s="342">
        <f t="shared" si="55"/>
        <v>0.22675068293571296</v>
      </c>
      <c r="M79" s="342">
        <f t="shared" si="55"/>
        <v>0.22675068293571296</v>
      </c>
      <c r="N79" s="342">
        <f t="shared" si="55"/>
        <v>0.22675068293571296</v>
      </c>
      <c r="O79" s="342">
        <f t="shared" si="55"/>
        <v>0.22675068293571296</v>
      </c>
      <c r="P79" s="504"/>
      <c r="Q79" s="427"/>
    </row>
    <row r="80" spans="2:17">
      <c r="B80" s="383"/>
      <c r="C80" s="371"/>
      <c r="D80" s="337" t="s">
        <v>547</v>
      </c>
      <c r="E80" s="28" t="s">
        <v>1077</v>
      </c>
      <c r="F80" s="414"/>
      <c r="G80" s="414"/>
      <c r="H80" s="414"/>
      <c r="I80" s="414"/>
      <c r="J80" s="414"/>
      <c r="K80" s="414"/>
      <c r="L80" s="414"/>
      <c r="M80" s="414"/>
      <c r="N80" s="414"/>
      <c r="O80" s="415"/>
      <c r="P80" s="504"/>
      <c r="Q80" s="420"/>
    </row>
    <row r="81" spans="2:17">
      <c r="B81" s="383"/>
      <c r="C81" s="371"/>
      <c r="D81" s="420" t="s">
        <v>548</v>
      </c>
      <c r="E81" s="28" t="s">
        <v>207</v>
      </c>
      <c r="F81" s="378">
        <f>IF(F80="",F79,F80)*F73</f>
        <v>0</v>
      </c>
      <c r="G81" s="378">
        <f t="shared" ref="G81:O81" si="56">IF(G80="",G79,G80)*G73</f>
        <v>0</v>
      </c>
      <c r="H81" s="378">
        <f t="shared" si="56"/>
        <v>0</v>
      </c>
      <c r="I81" s="378">
        <f t="shared" si="56"/>
        <v>0</v>
      </c>
      <c r="J81" s="378">
        <f t="shared" si="56"/>
        <v>0</v>
      </c>
      <c r="K81" s="378">
        <f t="shared" si="56"/>
        <v>0</v>
      </c>
      <c r="L81" s="378">
        <f t="shared" si="56"/>
        <v>0</v>
      </c>
      <c r="M81" s="378">
        <f t="shared" si="56"/>
        <v>0</v>
      </c>
      <c r="N81" s="378">
        <f t="shared" si="56"/>
        <v>0</v>
      </c>
      <c r="O81" s="378">
        <f t="shared" si="56"/>
        <v>0</v>
      </c>
      <c r="P81" s="504"/>
      <c r="Q81" s="420"/>
    </row>
    <row r="82" spans="2:17">
      <c r="B82" s="383"/>
      <c r="C82" s="371"/>
      <c r="D82" s="420" t="s">
        <v>551</v>
      </c>
      <c r="E82" s="28" t="s">
        <v>241</v>
      </c>
      <c r="F82" s="342">
        <f t="shared" ref="F82:O82" si="57">VENM_backfill_buy_R</f>
        <v>76.490890000000007</v>
      </c>
      <c r="G82" s="342">
        <f t="shared" si="57"/>
        <v>76.490890000000007</v>
      </c>
      <c r="H82" s="342">
        <f t="shared" si="57"/>
        <v>76.490890000000007</v>
      </c>
      <c r="I82" s="342">
        <f t="shared" si="57"/>
        <v>76.490890000000007</v>
      </c>
      <c r="J82" s="342">
        <f t="shared" si="57"/>
        <v>76.490890000000007</v>
      </c>
      <c r="K82" s="342">
        <f t="shared" si="57"/>
        <v>76.490890000000007</v>
      </c>
      <c r="L82" s="342">
        <f t="shared" si="57"/>
        <v>76.490890000000007</v>
      </c>
      <c r="M82" s="342">
        <f t="shared" si="57"/>
        <v>76.490890000000007</v>
      </c>
      <c r="N82" s="342">
        <f t="shared" si="57"/>
        <v>76.490890000000007</v>
      </c>
      <c r="O82" s="342">
        <f t="shared" si="57"/>
        <v>76.490890000000007</v>
      </c>
      <c r="P82" s="504"/>
      <c r="Q82" s="427"/>
    </row>
    <row r="83" spans="2:17">
      <c r="B83" s="383"/>
      <c r="C83" s="371"/>
      <c r="D83" s="337" t="s">
        <v>552</v>
      </c>
      <c r="E83" s="28" t="s">
        <v>241</v>
      </c>
      <c r="F83" s="414"/>
      <c r="G83" s="414"/>
      <c r="H83" s="414"/>
      <c r="I83" s="414"/>
      <c r="J83" s="414"/>
      <c r="K83" s="414"/>
      <c r="L83" s="414"/>
      <c r="M83" s="414"/>
      <c r="N83" s="414"/>
      <c r="O83" s="414"/>
      <c r="P83" s="504"/>
      <c r="Q83" s="420"/>
    </row>
    <row r="84" spans="2:17">
      <c r="B84" s="386"/>
      <c r="C84" s="371"/>
      <c r="D84" s="420" t="s">
        <v>548</v>
      </c>
      <c r="E84" s="28" t="s">
        <v>207</v>
      </c>
      <c r="F84" s="378">
        <f>IF(F83="",F82,F83)*F73</f>
        <v>0</v>
      </c>
      <c r="G84" s="378">
        <f t="shared" ref="G84:O84" si="58">IF(G83="",G82,G83)*G73</f>
        <v>0</v>
      </c>
      <c r="H84" s="378">
        <f t="shared" si="58"/>
        <v>0</v>
      </c>
      <c r="I84" s="378">
        <f t="shared" si="58"/>
        <v>0</v>
      </c>
      <c r="J84" s="378">
        <f t="shared" si="58"/>
        <v>0</v>
      </c>
      <c r="K84" s="378">
        <f t="shared" si="58"/>
        <v>0</v>
      </c>
      <c r="L84" s="378">
        <f t="shared" si="58"/>
        <v>0</v>
      </c>
      <c r="M84" s="378">
        <f t="shared" si="58"/>
        <v>0</v>
      </c>
      <c r="N84" s="378">
        <f t="shared" si="58"/>
        <v>0</v>
      </c>
      <c r="O84" s="378">
        <f t="shared" si="58"/>
        <v>0</v>
      </c>
      <c r="P84" s="504"/>
      <c r="Q84" s="420"/>
    </row>
    <row r="85" spans="2:17" ht="33.75">
      <c r="B85" s="382" t="s">
        <v>1078</v>
      </c>
      <c r="C85" s="371"/>
      <c r="D85" s="420" t="s">
        <v>442</v>
      </c>
      <c r="E85" s="28" t="s">
        <v>123</v>
      </c>
      <c r="F85" s="412" t="s">
        <v>1056</v>
      </c>
      <c r="G85" s="412" t="s">
        <v>1056</v>
      </c>
      <c r="H85" s="412" t="s">
        <v>1056</v>
      </c>
      <c r="I85" s="412" t="s">
        <v>1056</v>
      </c>
      <c r="J85" s="412" t="s">
        <v>1056</v>
      </c>
      <c r="K85" s="412" t="s">
        <v>1056</v>
      </c>
      <c r="L85" s="412" t="s">
        <v>1056</v>
      </c>
      <c r="M85" s="412" t="s">
        <v>1056</v>
      </c>
      <c r="N85" s="412" t="s">
        <v>1056</v>
      </c>
      <c r="O85" s="412" t="s">
        <v>1056</v>
      </c>
      <c r="P85" s="504"/>
      <c r="Q85" s="420"/>
    </row>
    <row r="86" spans="2:17">
      <c r="B86" s="383"/>
      <c r="C86" s="371"/>
      <c r="D86" s="420" t="s">
        <v>227</v>
      </c>
      <c r="E86" s="28" t="s">
        <v>241</v>
      </c>
      <c r="F86" s="342">
        <f t="shared" ref="F86:O86" si="59">_xlfn.XLOOKUP(F85,Dozer_push_names_CS,Dozer_push_rates_CS)</f>
        <v>0.82325581395348835</v>
      </c>
      <c r="G86" s="342">
        <f t="shared" si="59"/>
        <v>0.82325581395348835</v>
      </c>
      <c r="H86" s="342">
        <f t="shared" si="59"/>
        <v>0.82325581395348835</v>
      </c>
      <c r="I86" s="342">
        <f t="shared" si="59"/>
        <v>0.82325581395348835</v>
      </c>
      <c r="J86" s="342">
        <f t="shared" si="59"/>
        <v>0.82325581395348835</v>
      </c>
      <c r="K86" s="342">
        <f t="shared" si="59"/>
        <v>0.82325581395348835</v>
      </c>
      <c r="L86" s="342">
        <f t="shared" si="59"/>
        <v>0.82325581395348835</v>
      </c>
      <c r="M86" s="342">
        <f t="shared" si="59"/>
        <v>0.82325581395348835</v>
      </c>
      <c r="N86" s="342">
        <f t="shared" si="59"/>
        <v>0.82325581395348835</v>
      </c>
      <c r="O86" s="342">
        <f t="shared" si="59"/>
        <v>0.82325581395348835</v>
      </c>
      <c r="P86" s="504"/>
      <c r="Q86" s="427"/>
    </row>
    <row r="87" spans="2:17">
      <c r="B87" s="383"/>
      <c r="C87" s="371"/>
      <c r="D87" s="337" t="s">
        <v>229</v>
      </c>
      <c r="E87" s="28" t="s">
        <v>241</v>
      </c>
      <c r="F87" s="414"/>
      <c r="G87" s="414"/>
      <c r="H87" s="414"/>
      <c r="I87" s="414"/>
      <c r="J87" s="414"/>
      <c r="K87" s="414"/>
      <c r="L87" s="414"/>
      <c r="M87" s="414"/>
      <c r="N87" s="414"/>
      <c r="O87" s="414"/>
      <c r="P87" s="504"/>
      <c r="Q87" s="420"/>
    </row>
    <row r="88" spans="2:17">
      <c r="B88" s="386"/>
      <c r="C88" s="377"/>
      <c r="D88" s="420" t="s">
        <v>146</v>
      </c>
      <c r="E88" s="28" t="s">
        <v>207</v>
      </c>
      <c r="F88" s="378">
        <f>(F67+F68)*IF(F87="",F86,F87)</f>
        <v>0</v>
      </c>
      <c r="G88" s="378">
        <f t="shared" ref="G88:H88" si="60">(G67+G68)*IF(G87="",G86,G87)</f>
        <v>0</v>
      </c>
      <c r="H88" s="378">
        <f t="shared" si="60"/>
        <v>0</v>
      </c>
      <c r="I88" s="378">
        <f t="shared" ref="I88:O88" si="61">(I67+I68)*IF(I87="",I86,I87)</f>
        <v>0</v>
      </c>
      <c r="J88" s="378">
        <f t="shared" si="61"/>
        <v>0</v>
      </c>
      <c r="K88" s="378">
        <f t="shared" si="61"/>
        <v>0</v>
      </c>
      <c r="L88" s="378">
        <f t="shared" si="61"/>
        <v>0</v>
      </c>
      <c r="M88" s="378">
        <f t="shared" si="61"/>
        <v>0</v>
      </c>
      <c r="N88" s="378">
        <f t="shared" si="61"/>
        <v>0</v>
      </c>
      <c r="O88" s="378">
        <f t="shared" si="61"/>
        <v>0</v>
      </c>
      <c r="P88" s="504"/>
      <c r="Q88" s="420"/>
    </row>
    <row r="89" spans="2:17" ht="12" thickBot="1">
      <c r="B89" s="573"/>
      <c r="C89" s="574"/>
      <c r="D89" s="552" t="str">
        <f>B67</f>
        <v>Open Pit and Ramps Backfill</v>
      </c>
      <c r="E89" s="72"/>
      <c r="F89" s="365">
        <f>F77+F81+F84+F88</f>
        <v>0</v>
      </c>
      <c r="G89" s="365">
        <f t="shared" ref="G89:O89" si="62">G77+G81+G84+G88</f>
        <v>0</v>
      </c>
      <c r="H89" s="365">
        <f t="shared" si="62"/>
        <v>0</v>
      </c>
      <c r="I89" s="365">
        <f t="shared" si="62"/>
        <v>0</v>
      </c>
      <c r="J89" s="365">
        <f t="shared" si="62"/>
        <v>0</v>
      </c>
      <c r="K89" s="365">
        <f t="shared" si="62"/>
        <v>0</v>
      </c>
      <c r="L89" s="365">
        <f t="shared" si="62"/>
        <v>0</v>
      </c>
      <c r="M89" s="365">
        <f t="shared" si="62"/>
        <v>0</v>
      </c>
      <c r="N89" s="365">
        <f t="shared" si="62"/>
        <v>0</v>
      </c>
      <c r="O89" s="365">
        <f t="shared" si="62"/>
        <v>0</v>
      </c>
      <c r="P89" s="504"/>
      <c r="Q89" s="420"/>
    </row>
    <row r="90" spans="2:17" ht="12" thickTop="1">
      <c r="B90" s="575" t="s">
        <v>1079</v>
      </c>
      <c r="C90" s="376" t="s">
        <v>757</v>
      </c>
      <c r="D90" s="420" t="s">
        <v>1080</v>
      </c>
      <c r="E90" s="28" t="s">
        <v>211</v>
      </c>
      <c r="F90" s="402"/>
      <c r="G90" s="402"/>
      <c r="H90" s="402"/>
      <c r="I90" s="402"/>
      <c r="J90" s="402"/>
      <c r="K90" s="402"/>
      <c r="L90" s="402"/>
      <c r="M90" s="402"/>
      <c r="N90" s="402"/>
      <c r="O90" s="402"/>
      <c r="P90" s="504"/>
      <c r="Q90" s="420"/>
    </row>
    <row r="91" spans="2:17">
      <c r="B91" s="383"/>
      <c r="C91" s="371"/>
      <c r="D91" s="420" t="s">
        <v>1081</v>
      </c>
      <c r="E91" s="28" t="s">
        <v>211</v>
      </c>
      <c r="F91" s="402"/>
      <c r="G91" s="402"/>
      <c r="H91" s="402"/>
      <c r="I91" s="402"/>
      <c r="J91" s="402"/>
      <c r="K91" s="402"/>
      <c r="L91" s="402"/>
      <c r="M91" s="402"/>
      <c r="N91" s="402"/>
      <c r="O91" s="402"/>
      <c r="P91" s="504"/>
      <c r="Q91" s="420"/>
    </row>
    <row r="92" spans="2:17">
      <c r="B92" s="383"/>
      <c r="C92" s="371"/>
      <c r="D92" s="420" t="s">
        <v>1082</v>
      </c>
      <c r="E92" s="28" t="s">
        <v>211</v>
      </c>
      <c r="F92" s="402"/>
      <c r="G92" s="402"/>
      <c r="H92" s="402"/>
      <c r="I92" s="402"/>
      <c r="J92" s="402"/>
      <c r="K92" s="402"/>
      <c r="L92" s="402"/>
      <c r="M92" s="402"/>
      <c r="N92" s="402"/>
      <c r="O92" s="402"/>
      <c r="P92" s="504"/>
      <c r="Q92" s="420"/>
    </row>
    <row r="93" spans="2:17">
      <c r="B93" s="383"/>
      <c r="C93" s="371"/>
      <c r="D93" s="420" t="s">
        <v>442</v>
      </c>
      <c r="E93" s="28" t="s">
        <v>1083</v>
      </c>
      <c r="F93" s="602"/>
      <c r="G93" s="602"/>
      <c r="H93" s="602"/>
      <c r="I93" s="602"/>
      <c r="J93" s="602"/>
      <c r="K93" s="602"/>
      <c r="L93" s="602"/>
      <c r="M93" s="602"/>
      <c r="N93" s="602"/>
      <c r="O93" s="602"/>
      <c r="P93" s="504"/>
      <c r="Q93" s="420"/>
    </row>
    <row r="94" spans="2:17">
      <c r="B94" s="383"/>
      <c r="C94" s="371"/>
      <c r="D94" s="420" t="s">
        <v>503</v>
      </c>
      <c r="E94" s="28" t="s">
        <v>199</v>
      </c>
      <c r="F94" s="603"/>
      <c r="G94" s="603"/>
      <c r="H94" s="603"/>
      <c r="I94" s="603"/>
      <c r="J94" s="603"/>
      <c r="K94" s="603"/>
      <c r="L94" s="603"/>
      <c r="M94" s="603"/>
      <c r="N94" s="603"/>
      <c r="O94" s="603"/>
      <c r="P94" s="504"/>
      <c r="Q94" s="420"/>
    </row>
    <row r="95" spans="2:17">
      <c r="B95" s="383"/>
      <c r="C95" s="371"/>
      <c r="D95" s="420" t="s">
        <v>214</v>
      </c>
      <c r="E95" s="28" t="s">
        <v>215</v>
      </c>
      <c r="F95" s="367">
        <f>F92*F93*F94</f>
        <v>0</v>
      </c>
      <c r="G95" s="367">
        <f t="shared" ref="G95:H95" si="63">G92*G93*G94</f>
        <v>0</v>
      </c>
      <c r="H95" s="367">
        <f t="shared" si="63"/>
        <v>0</v>
      </c>
      <c r="I95" s="367">
        <f t="shared" ref="I95:O95" si="64">I92*I93*I94</f>
        <v>0</v>
      </c>
      <c r="J95" s="367">
        <f t="shared" si="64"/>
        <v>0</v>
      </c>
      <c r="K95" s="367">
        <f t="shared" si="64"/>
        <v>0</v>
      </c>
      <c r="L95" s="367">
        <f t="shared" si="64"/>
        <v>0</v>
      </c>
      <c r="M95" s="367">
        <f t="shared" si="64"/>
        <v>0</v>
      </c>
      <c r="N95" s="367">
        <f t="shared" si="64"/>
        <v>0</v>
      </c>
      <c r="O95" s="367">
        <f t="shared" si="64"/>
        <v>0</v>
      </c>
      <c r="P95" s="504"/>
      <c r="Q95" s="420"/>
    </row>
    <row r="96" spans="2:17">
      <c r="B96" s="383"/>
      <c r="C96" s="371"/>
      <c r="D96" s="420" t="s">
        <v>214</v>
      </c>
      <c r="E96" s="28" t="s">
        <v>299</v>
      </c>
      <c r="F96" s="345">
        <f t="shared" ref="F96:O96" si="65">F95/Conv_sqm_ha</f>
        <v>0</v>
      </c>
      <c r="G96" s="345">
        <f t="shared" si="65"/>
        <v>0</v>
      </c>
      <c r="H96" s="345">
        <f t="shared" si="65"/>
        <v>0</v>
      </c>
      <c r="I96" s="345">
        <f t="shared" si="65"/>
        <v>0</v>
      </c>
      <c r="J96" s="345">
        <f t="shared" si="65"/>
        <v>0</v>
      </c>
      <c r="K96" s="345">
        <f t="shared" si="65"/>
        <v>0</v>
      </c>
      <c r="L96" s="345">
        <f t="shared" si="65"/>
        <v>0</v>
      </c>
      <c r="M96" s="345">
        <f t="shared" si="65"/>
        <v>0</v>
      </c>
      <c r="N96" s="345">
        <f t="shared" si="65"/>
        <v>0</v>
      </c>
      <c r="O96" s="345">
        <f t="shared" si="65"/>
        <v>0</v>
      </c>
      <c r="P96" s="504"/>
      <c r="Q96" s="420"/>
    </row>
    <row r="97" spans="2:17">
      <c r="B97" s="386"/>
      <c r="C97" s="371"/>
      <c r="D97" s="420" t="s">
        <v>1084</v>
      </c>
      <c r="E97" s="28" t="s">
        <v>219</v>
      </c>
      <c r="F97" s="367">
        <f>F95*F91</f>
        <v>0</v>
      </c>
      <c r="G97" s="367">
        <f t="shared" ref="G97:H97" si="66">G95*G91</f>
        <v>0</v>
      </c>
      <c r="H97" s="367">
        <f t="shared" si="66"/>
        <v>0</v>
      </c>
      <c r="I97" s="367">
        <f t="shared" ref="I97:O97" si="67">I95*I91</f>
        <v>0</v>
      </c>
      <c r="J97" s="367">
        <f t="shared" si="67"/>
        <v>0</v>
      </c>
      <c r="K97" s="367">
        <f t="shared" si="67"/>
        <v>0</v>
      </c>
      <c r="L97" s="367">
        <f t="shared" si="67"/>
        <v>0</v>
      </c>
      <c r="M97" s="367">
        <f t="shared" si="67"/>
        <v>0</v>
      </c>
      <c r="N97" s="367">
        <f t="shared" si="67"/>
        <v>0</v>
      </c>
      <c r="O97" s="367">
        <f t="shared" si="67"/>
        <v>0</v>
      </c>
      <c r="P97" s="504"/>
      <c r="Q97" s="420"/>
    </row>
    <row r="98" spans="2:17" ht="33.75">
      <c r="B98" s="382" t="s">
        <v>1085</v>
      </c>
      <c r="C98" s="371"/>
      <c r="D98" s="420" t="s">
        <v>442</v>
      </c>
      <c r="E98" s="28" t="s">
        <v>123</v>
      </c>
      <c r="F98" s="412" t="s">
        <v>875</v>
      </c>
      <c r="G98" s="412" t="s">
        <v>875</v>
      </c>
      <c r="H98" s="412" t="s">
        <v>875</v>
      </c>
      <c r="I98" s="412" t="s">
        <v>875</v>
      </c>
      <c r="J98" s="412" t="s">
        <v>875</v>
      </c>
      <c r="K98" s="412" t="s">
        <v>875</v>
      </c>
      <c r="L98" s="412" t="s">
        <v>875</v>
      </c>
      <c r="M98" s="412" t="s">
        <v>875</v>
      </c>
      <c r="N98" s="412" t="s">
        <v>875</v>
      </c>
      <c r="O98" s="412" t="s">
        <v>875</v>
      </c>
      <c r="P98" s="504"/>
      <c r="Q98" s="420"/>
    </row>
    <row r="99" spans="2:17">
      <c r="B99" s="383"/>
      <c r="C99" s="371"/>
      <c r="D99" s="420" t="s">
        <v>227</v>
      </c>
      <c r="E99" s="28" t="s">
        <v>241</v>
      </c>
      <c r="F99" s="342">
        <f t="shared" ref="F99:O99" si="68">_xlfn.XLOOKUP(F98,Dozer_push_names_CS,Dozer_push_rates_CS)</f>
        <v>1.8084243133374003</v>
      </c>
      <c r="G99" s="342">
        <f t="shared" si="68"/>
        <v>1.8084243133374003</v>
      </c>
      <c r="H99" s="342">
        <f t="shared" si="68"/>
        <v>1.8084243133374003</v>
      </c>
      <c r="I99" s="342">
        <f t="shared" si="68"/>
        <v>1.8084243133374003</v>
      </c>
      <c r="J99" s="342">
        <f t="shared" si="68"/>
        <v>1.8084243133374003</v>
      </c>
      <c r="K99" s="342">
        <f t="shared" si="68"/>
        <v>1.8084243133374003</v>
      </c>
      <c r="L99" s="342">
        <f t="shared" si="68"/>
        <v>1.8084243133374003</v>
      </c>
      <c r="M99" s="342">
        <f t="shared" si="68"/>
        <v>1.8084243133374003</v>
      </c>
      <c r="N99" s="342">
        <f t="shared" si="68"/>
        <v>1.8084243133374003</v>
      </c>
      <c r="O99" s="342">
        <f t="shared" si="68"/>
        <v>1.8084243133374003</v>
      </c>
      <c r="P99" s="504"/>
      <c r="Q99" s="427"/>
    </row>
    <row r="100" spans="2:17">
      <c r="B100" s="383"/>
      <c r="C100" s="371"/>
      <c r="D100" s="337" t="s">
        <v>229</v>
      </c>
      <c r="E100" s="28" t="s">
        <v>241</v>
      </c>
      <c r="F100" s="414"/>
      <c r="G100" s="414"/>
      <c r="H100" s="414"/>
      <c r="I100" s="414"/>
      <c r="J100" s="414"/>
      <c r="K100" s="414"/>
      <c r="L100" s="414"/>
      <c r="M100" s="414"/>
      <c r="N100" s="414"/>
      <c r="O100" s="414"/>
      <c r="P100" s="504"/>
      <c r="Q100" s="420"/>
    </row>
    <row r="101" spans="2:17">
      <c r="B101" s="386"/>
      <c r="C101" s="371"/>
      <c r="D101" s="420" t="s">
        <v>146</v>
      </c>
      <c r="E101" s="28" t="s">
        <v>207</v>
      </c>
      <c r="F101" s="378">
        <f>IF(F100="",F99,F100)*F97</f>
        <v>0</v>
      </c>
      <c r="G101" s="378">
        <f t="shared" ref="G101:H101" si="69">IF(G100="",G99,G100)*G97</f>
        <v>0</v>
      </c>
      <c r="H101" s="378">
        <f t="shared" si="69"/>
        <v>0</v>
      </c>
      <c r="I101" s="378">
        <f t="shared" ref="I101:O101" si="70">IF(I100="",I99,I100)*I97</f>
        <v>0</v>
      </c>
      <c r="J101" s="378">
        <f t="shared" si="70"/>
        <v>0</v>
      </c>
      <c r="K101" s="378">
        <f t="shared" si="70"/>
        <v>0</v>
      </c>
      <c r="L101" s="378">
        <f t="shared" si="70"/>
        <v>0</v>
      </c>
      <c r="M101" s="378">
        <f t="shared" si="70"/>
        <v>0</v>
      </c>
      <c r="N101" s="378">
        <f t="shared" si="70"/>
        <v>0</v>
      </c>
      <c r="O101" s="378">
        <f t="shared" si="70"/>
        <v>0</v>
      </c>
      <c r="P101" s="504"/>
      <c r="Q101" s="420"/>
    </row>
    <row r="102" spans="2:17" ht="22.5">
      <c r="B102" s="382" t="s">
        <v>1086</v>
      </c>
      <c r="C102" s="371"/>
      <c r="D102" s="420" t="s">
        <v>634</v>
      </c>
      <c r="E102" s="28" t="s">
        <v>123</v>
      </c>
      <c r="F102" s="412" t="s">
        <v>1063</v>
      </c>
      <c r="G102" s="412" t="s">
        <v>1063</v>
      </c>
      <c r="H102" s="412" t="s">
        <v>1063</v>
      </c>
      <c r="I102" s="412" t="s">
        <v>1063</v>
      </c>
      <c r="J102" s="412" t="s">
        <v>1063</v>
      </c>
      <c r="K102" s="412" t="s">
        <v>1063</v>
      </c>
      <c r="L102" s="412" t="s">
        <v>1063</v>
      </c>
      <c r="M102" s="412" t="s">
        <v>1063</v>
      </c>
      <c r="N102" s="412" t="s">
        <v>1063</v>
      </c>
      <c r="O102" s="412" t="s">
        <v>1063</v>
      </c>
      <c r="P102" s="504"/>
      <c r="Q102" s="420"/>
    </row>
    <row r="103" spans="2:17">
      <c r="B103" s="383"/>
      <c r="C103" s="371"/>
      <c r="D103" s="420" t="s">
        <v>227</v>
      </c>
      <c r="E103" s="28" t="s">
        <v>241</v>
      </c>
      <c r="F103" s="342">
        <f t="shared" ref="F103:O103" si="71">_xlfn.XLOOKUP(F102,Load_haul_fill_names_CS,Load_haul_fill_rates_CS)</f>
        <v>5.7855619567513541</v>
      </c>
      <c r="G103" s="342">
        <f t="shared" si="71"/>
        <v>5.7855619567513541</v>
      </c>
      <c r="H103" s="342">
        <f t="shared" si="71"/>
        <v>5.7855619567513541</v>
      </c>
      <c r="I103" s="342">
        <f t="shared" si="71"/>
        <v>5.7855619567513541</v>
      </c>
      <c r="J103" s="342">
        <f t="shared" si="71"/>
        <v>5.7855619567513541</v>
      </c>
      <c r="K103" s="342">
        <f t="shared" si="71"/>
        <v>5.7855619567513541</v>
      </c>
      <c r="L103" s="342">
        <f t="shared" si="71"/>
        <v>5.7855619567513541</v>
      </c>
      <c r="M103" s="342">
        <f t="shared" si="71"/>
        <v>5.7855619567513541</v>
      </c>
      <c r="N103" s="342">
        <f t="shared" si="71"/>
        <v>5.7855619567513541</v>
      </c>
      <c r="O103" s="342">
        <f t="shared" si="71"/>
        <v>5.7855619567513541</v>
      </c>
      <c r="P103" s="504"/>
      <c r="Q103" s="427"/>
    </row>
    <row r="104" spans="2:17">
      <c r="B104" s="383"/>
      <c r="C104" s="371"/>
      <c r="D104" s="337" t="s">
        <v>229</v>
      </c>
      <c r="E104" s="28" t="s">
        <v>241</v>
      </c>
      <c r="F104" s="414"/>
      <c r="G104" s="414"/>
      <c r="H104" s="414"/>
      <c r="I104" s="414"/>
      <c r="J104" s="414"/>
      <c r="K104" s="414"/>
      <c r="L104" s="414"/>
      <c r="M104" s="414"/>
      <c r="N104" s="414"/>
      <c r="O104" s="414"/>
      <c r="P104" s="504"/>
      <c r="Q104" s="420"/>
    </row>
    <row r="105" spans="2:17">
      <c r="B105" s="386"/>
      <c r="C105" s="371"/>
      <c r="D105" s="420" t="s">
        <v>146</v>
      </c>
      <c r="E105" s="28" t="s">
        <v>207</v>
      </c>
      <c r="F105" s="378">
        <f>IF(F104="",F103,F104)*F97</f>
        <v>0</v>
      </c>
      <c r="G105" s="378">
        <f t="shared" ref="G105:H105" si="72">IF(G104="",G103,G104)*G97</f>
        <v>0</v>
      </c>
      <c r="H105" s="378">
        <f t="shared" si="72"/>
        <v>0</v>
      </c>
      <c r="I105" s="378">
        <f t="shared" ref="I105:O105" si="73">IF(I104="",I103,I104)*I97</f>
        <v>0</v>
      </c>
      <c r="J105" s="378">
        <f t="shared" si="73"/>
        <v>0</v>
      </c>
      <c r="K105" s="378">
        <f t="shared" si="73"/>
        <v>0</v>
      </c>
      <c r="L105" s="378">
        <f t="shared" si="73"/>
        <v>0</v>
      </c>
      <c r="M105" s="378">
        <f t="shared" si="73"/>
        <v>0</v>
      </c>
      <c r="N105" s="378">
        <f t="shared" si="73"/>
        <v>0</v>
      </c>
      <c r="O105" s="378">
        <f t="shared" si="73"/>
        <v>0</v>
      </c>
      <c r="P105" s="504"/>
      <c r="Q105" s="420"/>
    </row>
    <row r="106" spans="2:17" ht="22.5">
      <c r="B106" s="382" t="s">
        <v>1087</v>
      </c>
      <c r="C106" s="371"/>
      <c r="D106" s="420" t="s">
        <v>308</v>
      </c>
      <c r="E106" s="28" t="s">
        <v>123</v>
      </c>
      <c r="F106" s="412" t="s">
        <v>1063</v>
      </c>
      <c r="G106" s="412" t="s">
        <v>1063</v>
      </c>
      <c r="H106" s="412" t="s">
        <v>1063</v>
      </c>
      <c r="I106" s="412" t="s">
        <v>1063</v>
      </c>
      <c r="J106" s="412" t="s">
        <v>1063</v>
      </c>
      <c r="K106" s="412" t="s">
        <v>1063</v>
      </c>
      <c r="L106" s="412" t="s">
        <v>1063</v>
      </c>
      <c r="M106" s="412" t="s">
        <v>1063</v>
      </c>
      <c r="N106" s="412" t="s">
        <v>1063</v>
      </c>
      <c r="O106" s="412" t="s">
        <v>1063</v>
      </c>
      <c r="P106" s="504"/>
      <c r="Q106" s="420"/>
    </row>
    <row r="107" spans="2:17">
      <c r="B107" s="383"/>
      <c r="C107" s="371"/>
      <c r="D107" s="420" t="s">
        <v>227</v>
      </c>
      <c r="E107" s="28" t="s">
        <v>241</v>
      </c>
      <c r="F107" s="342">
        <f t="shared" ref="F107:O107" si="74">_xlfn.XLOOKUP(F106,Load_haul_fill_names_CS,Load_haul_fill_rates_CS)</f>
        <v>5.7855619567513541</v>
      </c>
      <c r="G107" s="342">
        <f t="shared" si="74"/>
        <v>5.7855619567513541</v>
      </c>
      <c r="H107" s="342">
        <f t="shared" si="74"/>
        <v>5.7855619567513541</v>
      </c>
      <c r="I107" s="342">
        <f t="shared" si="74"/>
        <v>5.7855619567513541</v>
      </c>
      <c r="J107" s="342">
        <f t="shared" si="74"/>
        <v>5.7855619567513541</v>
      </c>
      <c r="K107" s="342">
        <f t="shared" si="74"/>
        <v>5.7855619567513541</v>
      </c>
      <c r="L107" s="342">
        <f t="shared" si="74"/>
        <v>5.7855619567513541</v>
      </c>
      <c r="M107" s="342">
        <f t="shared" si="74"/>
        <v>5.7855619567513541</v>
      </c>
      <c r="N107" s="342">
        <f t="shared" si="74"/>
        <v>5.7855619567513541</v>
      </c>
      <c r="O107" s="342">
        <f t="shared" si="74"/>
        <v>5.7855619567513541</v>
      </c>
      <c r="P107" s="504"/>
      <c r="Q107" s="427"/>
    </row>
    <row r="108" spans="2:17">
      <c r="B108" s="383"/>
      <c r="C108" s="371"/>
      <c r="D108" s="337" t="s">
        <v>229</v>
      </c>
      <c r="E108" s="28" t="s">
        <v>241</v>
      </c>
      <c r="F108" s="414"/>
      <c r="G108" s="414"/>
      <c r="H108" s="414"/>
      <c r="I108" s="414"/>
      <c r="J108" s="414"/>
      <c r="K108" s="414"/>
      <c r="L108" s="414"/>
      <c r="M108" s="414"/>
      <c r="N108" s="414"/>
      <c r="O108" s="414"/>
      <c r="P108" s="504"/>
      <c r="Q108" s="420"/>
    </row>
    <row r="109" spans="2:17">
      <c r="B109" s="386"/>
      <c r="C109" s="371"/>
      <c r="D109" s="420" t="s">
        <v>146</v>
      </c>
      <c r="E109" s="28" t="s">
        <v>207</v>
      </c>
      <c r="F109" s="378">
        <f>IF(F108="",F107,F108)*F97</f>
        <v>0</v>
      </c>
      <c r="G109" s="378">
        <f t="shared" ref="G109:H109" si="75">IF(G108="",G107,G108)*G97</f>
        <v>0</v>
      </c>
      <c r="H109" s="378">
        <f t="shared" si="75"/>
        <v>0</v>
      </c>
      <c r="I109" s="378">
        <f t="shared" ref="I109:O109" si="76">IF(I108="",I107,I108)*I97</f>
        <v>0</v>
      </c>
      <c r="J109" s="378">
        <f t="shared" si="76"/>
        <v>0</v>
      </c>
      <c r="K109" s="378">
        <f t="shared" si="76"/>
        <v>0</v>
      </c>
      <c r="L109" s="378">
        <f t="shared" si="76"/>
        <v>0</v>
      </c>
      <c r="M109" s="378">
        <f t="shared" si="76"/>
        <v>0</v>
      </c>
      <c r="N109" s="378">
        <f t="shared" si="76"/>
        <v>0</v>
      </c>
      <c r="O109" s="378">
        <f t="shared" si="76"/>
        <v>0</v>
      </c>
      <c r="P109" s="504"/>
      <c r="Q109" s="420"/>
    </row>
    <row r="110" spans="2:17" ht="33.75">
      <c r="B110" s="382" t="s">
        <v>1088</v>
      </c>
      <c r="C110" s="371"/>
      <c r="D110" s="420" t="s">
        <v>442</v>
      </c>
      <c r="E110" s="28" t="s">
        <v>123</v>
      </c>
      <c r="F110" s="412" t="s">
        <v>875</v>
      </c>
      <c r="G110" s="412" t="s">
        <v>875</v>
      </c>
      <c r="H110" s="412" t="s">
        <v>875</v>
      </c>
      <c r="I110" s="412" t="s">
        <v>875</v>
      </c>
      <c r="J110" s="412" t="s">
        <v>875</v>
      </c>
      <c r="K110" s="412" t="s">
        <v>875</v>
      </c>
      <c r="L110" s="412" t="s">
        <v>875</v>
      </c>
      <c r="M110" s="412" t="s">
        <v>875</v>
      </c>
      <c r="N110" s="412" t="s">
        <v>875</v>
      </c>
      <c r="O110" s="412" t="s">
        <v>875</v>
      </c>
      <c r="P110" s="504"/>
      <c r="Q110" s="420"/>
    </row>
    <row r="111" spans="2:17">
      <c r="B111" s="383"/>
      <c r="C111" s="371"/>
      <c r="D111" s="420" t="s">
        <v>227</v>
      </c>
      <c r="E111" s="28" t="s">
        <v>241</v>
      </c>
      <c r="F111" s="342">
        <f t="shared" ref="F111:O111" si="77">_xlfn.XLOOKUP(F110,Dozer_push_names_CS,Dozer_push_rates_CS)</f>
        <v>1.8084243133374003</v>
      </c>
      <c r="G111" s="342">
        <f t="shared" si="77"/>
        <v>1.8084243133374003</v>
      </c>
      <c r="H111" s="342">
        <f t="shared" si="77"/>
        <v>1.8084243133374003</v>
      </c>
      <c r="I111" s="342">
        <f t="shared" si="77"/>
        <v>1.8084243133374003</v>
      </c>
      <c r="J111" s="342">
        <f t="shared" si="77"/>
        <v>1.8084243133374003</v>
      </c>
      <c r="K111" s="342">
        <f t="shared" si="77"/>
        <v>1.8084243133374003</v>
      </c>
      <c r="L111" s="342">
        <f t="shared" si="77"/>
        <v>1.8084243133374003</v>
      </c>
      <c r="M111" s="342">
        <f t="shared" si="77"/>
        <v>1.8084243133374003</v>
      </c>
      <c r="N111" s="342">
        <f t="shared" si="77"/>
        <v>1.8084243133374003</v>
      </c>
      <c r="O111" s="342">
        <f t="shared" si="77"/>
        <v>1.8084243133374003</v>
      </c>
      <c r="P111" s="504"/>
      <c r="Q111" s="427"/>
    </row>
    <row r="112" spans="2:17">
      <c r="B112" s="383"/>
      <c r="C112" s="371"/>
      <c r="D112" s="337" t="s">
        <v>229</v>
      </c>
      <c r="E112" s="28" t="s">
        <v>241</v>
      </c>
      <c r="F112" s="414"/>
      <c r="G112" s="414"/>
      <c r="H112" s="414"/>
      <c r="I112" s="414"/>
      <c r="J112" s="414"/>
      <c r="K112" s="414"/>
      <c r="L112" s="414"/>
      <c r="M112" s="414"/>
      <c r="N112" s="414"/>
      <c r="O112" s="414"/>
      <c r="P112" s="504"/>
      <c r="Q112" s="420"/>
    </row>
    <row r="113" spans="2:17">
      <c r="B113" s="386"/>
      <c r="C113" s="377"/>
      <c r="D113" s="420" t="s">
        <v>146</v>
      </c>
      <c r="E113" s="28" t="s">
        <v>207</v>
      </c>
      <c r="F113" s="378">
        <f>IF(F112="",F111,F112)*F97</f>
        <v>0</v>
      </c>
      <c r="G113" s="378">
        <f t="shared" ref="G113:H113" si="78">IF(G112="",G111,G112)*G97</f>
        <v>0</v>
      </c>
      <c r="H113" s="378">
        <f t="shared" si="78"/>
        <v>0</v>
      </c>
      <c r="I113" s="378">
        <f t="shared" ref="I113:O113" si="79">IF(I112="",I111,I112)*I97</f>
        <v>0</v>
      </c>
      <c r="J113" s="378">
        <f t="shared" si="79"/>
        <v>0</v>
      </c>
      <c r="K113" s="378">
        <f t="shared" si="79"/>
        <v>0</v>
      </c>
      <c r="L113" s="378">
        <f t="shared" si="79"/>
        <v>0</v>
      </c>
      <c r="M113" s="378">
        <f t="shared" si="79"/>
        <v>0</v>
      </c>
      <c r="N113" s="378">
        <f t="shared" si="79"/>
        <v>0</v>
      </c>
      <c r="O113" s="378">
        <f t="shared" si="79"/>
        <v>0</v>
      </c>
      <c r="P113" s="504"/>
      <c r="Q113" s="420"/>
    </row>
    <row r="114" spans="2:17" ht="12" thickBot="1">
      <c r="B114" s="573"/>
      <c r="C114" s="574"/>
      <c r="D114" s="552" t="str">
        <f>B90</f>
        <v>Rehabilitate ramps</v>
      </c>
      <c r="E114" s="72"/>
      <c r="F114" s="365">
        <f>F101+F105+F109+F113</f>
        <v>0</v>
      </c>
      <c r="G114" s="365">
        <f>G101+G105+G109+G113</f>
        <v>0</v>
      </c>
      <c r="H114" s="365">
        <f t="shared" ref="H114:O114" si="80">H101+H105+H109+H113</f>
        <v>0</v>
      </c>
      <c r="I114" s="365">
        <f t="shared" si="80"/>
        <v>0</v>
      </c>
      <c r="J114" s="365">
        <f t="shared" si="80"/>
        <v>0</v>
      </c>
      <c r="K114" s="365">
        <f t="shared" si="80"/>
        <v>0</v>
      </c>
      <c r="L114" s="365">
        <f t="shared" si="80"/>
        <v>0</v>
      </c>
      <c r="M114" s="365">
        <f t="shared" si="80"/>
        <v>0</v>
      </c>
      <c r="N114" s="365">
        <f t="shared" si="80"/>
        <v>0</v>
      </c>
      <c r="O114" s="365">
        <f t="shared" si="80"/>
        <v>0</v>
      </c>
      <c r="P114" s="504"/>
      <c r="Q114" s="420"/>
    </row>
    <row r="115" spans="2:17" ht="12" thickTop="1">
      <c r="B115" s="575" t="s">
        <v>1089</v>
      </c>
      <c r="C115" s="376" t="s">
        <v>513</v>
      </c>
      <c r="D115" s="420" t="s">
        <v>623</v>
      </c>
      <c r="E115" s="28" t="s">
        <v>299</v>
      </c>
      <c r="F115" s="410">
        <f>0.3*F11</f>
        <v>51.398999999999994</v>
      </c>
      <c r="G115" s="410"/>
      <c r="H115" s="410"/>
      <c r="I115" s="410"/>
      <c r="J115" s="410"/>
      <c r="K115" s="410"/>
      <c r="L115" s="410"/>
      <c r="M115" s="410"/>
      <c r="N115" s="410"/>
      <c r="O115" s="410"/>
      <c r="P115" s="504"/>
      <c r="Q115" s="420"/>
    </row>
    <row r="116" spans="2:17" ht="123.75">
      <c r="B116" s="383"/>
      <c r="C116" s="371"/>
      <c r="D116" s="420" t="s">
        <v>514</v>
      </c>
      <c r="E116" s="28" t="s">
        <v>123</v>
      </c>
      <c r="F116" s="412" t="s">
        <v>520</v>
      </c>
      <c r="G116" s="412" t="s">
        <v>516</v>
      </c>
      <c r="H116" s="412" t="s">
        <v>517</v>
      </c>
      <c r="I116" s="412" t="s">
        <v>518</v>
      </c>
      <c r="J116" s="412" t="s">
        <v>519</v>
      </c>
      <c r="K116" s="412" t="s">
        <v>520</v>
      </c>
      <c r="L116" s="412" t="s">
        <v>521</v>
      </c>
      <c r="M116" s="412" t="s">
        <v>515</v>
      </c>
      <c r="N116" s="412" t="s">
        <v>515</v>
      </c>
      <c r="O116" s="412" t="s">
        <v>515</v>
      </c>
      <c r="P116" s="504"/>
      <c r="Q116" s="420"/>
    </row>
    <row r="117" spans="2:17">
      <c r="B117" s="383"/>
      <c r="C117" s="371"/>
      <c r="D117" s="420" t="s">
        <v>227</v>
      </c>
      <c r="E117" s="28" t="s">
        <v>329</v>
      </c>
      <c r="F117" s="342">
        <f t="shared" ref="F117:O117" si="81">_xlfn.XLOOKUP(F116,Drains_names_CS,Drains_rates_CS)</f>
        <v>4174</v>
      </c>
      <c r="G117" s="342">
        <f t="shared" si="81"/>
        <v>20218.970183654852</v>
      </c>
      <c r="H117" s="342">
        <f t="shared" si="81"/>
        <v>22216.62782359769</v>
      </c>
      <c r="I117" s="342">
        <f t="shared" si="81"/>
        <v>23495.197934061274</v>
      </c>
      <c r="J117" s="342">
        <f t="shared" si="81"/>
        <v>30818.115265667206</v>
      </c>
      <c r="K117" s="342">
        <f t="shared" si="81"/>
        <v>4174</v>
      </c>
      <c r="L117" s="342">
        <f t="shared" si="81"/>
        <v>3930.220784661823</v>
      </c>
      <c r="M117" s="342">
        <f t="shared" si="81"/>
        <v>17746.948711216752</v>
      </c>
      <c r="N117" s="342">
        <f t="shared" si="81"/>
        <v>17746.948711216752</v>
      </c>
      <c r="O117" s="342">
        <f t="shared" si="81"/>
        <v>17746.948711216752</v>
      </c>
      <c r="P117" s="504"/>
      <c r="Q117" s="427"/>
    </row>
    <row r="118" spans="2:17">
      <c r="B118" s="383"/>
      <c r="C118" s="371"/>
      <c r="D118" s="427" t="s">
        <v>229</v>
      </c>
      <c r="E118" s="28" t="s">
        <v>241</v>
      </c>
      <c r="F118" s="414"/>
      <c r="G118" s="414"/>
      <c r="H118" s="414"/>
      <c r="I118" s="414"/>
      <c r="J118" s="414"/>
      <c r="K118" s="414"/>
      <c r="L118" s="414"/>
      <c r="M118" s="414"/>
      <c r="N118" s="414"/>
      <c r="O118" s="414"/>
      <c r="P118" s="504"/>
      <c r="Q118" s="420"/>
    </row>
    <row r="119" spans="2:17">
      <c r="B119" s="386"/>
      <c r="C119" s="377"/>
      <c r="D119" s="420" t="s">
        <v>146</v>
      </c>
      <c r="E119" s="28" t="s">
        <v>207</v>
      </c>
      <c r="F119" s="424">
        <f t="shared" ref="F119:O119" si="82">IF(F118="",F117,F118)*F115</f>
        <v>214539.42599999998</v>
      </c>
      <c r="G119" s="424">
        <f t="shared" si="82"/>
        <v>0</v>
      </c>
      <c r="H119" s="424">
        <f t="shared" si="82"/>
        <v>0</v>
      </c>
      <c r="I119" s="424">
        <f t="shared" si="82"/>
        <v>0</v>
      </c>
      <c r="J119" s="424">
        <f t="shared" si="82"/>
        <v>0</v>
      </c>
      <c r="K119" s="424">
        <f t="shared" si="82"/>
        <v>0</v>
      </c>
      <c r="L119" s="424">
        <f t="shared" si="82"/>
        <v>0</v>
      </c>
      <c r="M119" s="424">
        <f t="shared" si="82"/>
        <v>0</v>
      </c>
      <c r="N119" s="424">
        <f t="shared" si="82"/>
        <v>0</v>
      </c>
      <c r="O119" s="424">
        <f t="shared" si="82"/>
        <v>0</v>
      </c>
      <c r="P119" s="504"/>
      <c r="Q119" s="420"/>
    </row>
    <row r="120" spans="2:17">
      <c r="B120" s="382" t="s">
        <v>522</v>
      </c>
      <c r="C120" s="376" t="s">
        <v>523</v>
      </c>
      <c r="D120" s="420" t="s">
        <v>214</v>
      </c>
      <c r="E120" s="28" t="s">
        <v>299</v>
      </c>
      <c r="F120" s="410"/>
      <c r="G120" s="410"/>
      <c r="H120" s="410"/>
      <c r="I120" s="410"/>
      <c r="J120" s="410"/>
      <c r="K120" s="410"/>
      <c r="L120" s="410"/>
      <c r="M120" s="410"/>
      <c r="N120" s="410"/>
      <c r="O120" s="410"/>
      <c r="P120" s="504"/>
      <c r="Q120" s="420"/>
    </row>
    <row r="121" spans="2:17">
      <c r="B121" s="383"/>
      <c r="C121" s="371"/>
      <c r="D121" s="420" t="s">
        <v>227</v>
      </c>
      <c r="E121" s="28" t="s">
        <v>299</v>
      </c>
      <c r="F121" s="342">
        <f>'Cost Schedule'!$D$584+'Cost Schedule'!$D$210</f>
        <v>796.84982826418661</v>
      </c>
      <c r="G121" s="342">
        <f>'Cost Schedule'!$D$584+'Cost Schedule'!$D$210</f>
        <v>796.84982826418661</v>
      </c>
      <c r="H121" s="342">
        <f>'Cost Schedule'!$D$584+'Cost Schedule'!$D$210</f>
        <v>796.84982826418661</v>
      </c>
      <c r="I121" s="342">
        <f>'Cost Schedule'!$D$584+'Cost Schedule'!$D$210</f>
        <v>796.84982826418661</v>
      </c>
      <c r="J121" s="342">
        <f>'Cost Schedule'!$D$584+'Cost Schedule'!$D$210</f>
        <v>796.84982826418661</v>
      </c>
      <c r="K121" s="342">
        <f>'Cost Schedule'!$D$584+'Cost Schedule'!$D$210</f>
        <v>796.84982826418661</v>
      </c>
      <c r="L121" s="342">
        <f>'Cost Schedule'!$D$584+'Cost Schedule'!$D$210</f>
        <v>796.84982826418661</v>
      </c>
      <c r="M121" s="342">
        <f>'Cost Schedule'!$D$584+'Cost Schedule'!$D$210</f>
        <v>796.84982826418661</v>
      </c>
      <c r="N121" s="342">
        <f>'Cost Schedule'!$D$584+'Cost Schedule'!$D$210</f>
        <v>796.84982826418661</v>
      </c>
      <c r="O121" s="342">
        <f>'Cost Schedule'!$D$584+'Cost Schedule'!$D$210</f>
        <v>796.84982826418661</v>
      </c>
      <c r="P121" s="504"/>
      <c r="Q121" s="427"/>
    </row>
    <row r="122" spans="2:17">
      <c r="B122" s="383"/>
      <c r="C122" s="371"/>
      <c r="D122" s="427" t="s">
        <v>229</v>
      </c>
      <c r="E122" s="28" t="s">
        <v>241</v>
      </c>
      <c r="F122" s="414"/>
      <c r="G122" s="414"/>
      <c r="H122" s="414"/>
      <c r="I122" s="414"/>
      <c r="J122" s="414"/>
      <c r="K122" s="414"/>
      <c r="L122" s="414"/>
      <c r="M122" s="414"/>
      <c r="N122" s="414"/>
      <c r="O122" s="414"/>
      <c r="P122" s="504"/>
      <c r="Q122" s="420"/>
    </row>
    <row r="123" spans="2:17">
      <c r="B123" s="386"/>
      <c r="C123" s="377"/>
      <c r="D123" s="420" t="s">
        <v>146</v>
      </c>
      <c r="E123" s="28" t="s">
        <v>207</v>
      </c>
      <c r="F123" s="378">
        <f t="shared" ref="F123:O123" si="83">IF(F122="",F121,F122)*F120</f>
        <v>0</v>
      </c>
      <c r="G123" s="378">
        <f t="shared" si="83"/>
        <v>0</v>
      </c>
      <c r="H123" s="378">
        <f t="shared" si="83"/>
        <v>0</v>
      </c>
      <c r="I123" s="378">
        <f t="shared" si="83"/>
        <v>0</v>
      </c>
      <c r="J123" s="378">
        <f t="shared" si="83"/>
        <v>0</v>
      </c>
      <c r="K123" s="378">
        <f t="shared" si="83"/>
        <v>0</v>
      </c>
      <c r="L123" s="378">
        <f t="shared" si="83"/>
        <v>0</v>
      </c>
      <c r="M123" s="378">
        <f t="shared" si="83"/>
        <v>0</v>
      </c>
      <c r="N123" s="378">
        <f t="shared" si="83"/>
        <v>0</v>
      </c>
      <c r="O123" s="378">
        <f t="shared" si="83"/>
        <v>0</v>
      </c>
      <c r="P123" s="504"/>
      <c r="Q123" s="420"/>
    </row>
    <row r="124" spans="2:17">
      <c r="B124" s="573"/>
      <c r="C124" s="574"/>
      <c r="D124" s="552" t="str">
        <f>B115</f>
        <v>Construct Drainage and Manage Water</v>
      </c>
      <c r="E124" s="72"/>
      <c r="F124" s="392">
        <f t="shared" ref="F124:O124" si="84">F119+F123</f>
        <v>214539.42599999998</v>
      </c>
      <c r="G124" s="392">
        <f t="shared" si="84"/>
        <v>0</v>
      </c>
      <c r="H124" s="392">
        <f t="shared" si="84"/>
        <v>0</v>
      </c>
      <c r="I124" s="392">
        <f t="shared" si="84"/>
        <v>0</v>
      </c>
      <c r="J124" s="392">
        <f t="shared" si="84"/>
        <v>0</v>
      </c>
      <c r="K124" s="392">
        <f t="shared" si="84"/>
        <v>0</v>
      </c>
      <c r="L124" s="392">
        <f t="shared" si="84"/>
        <v>0</v>
      </c>
      <c r="M124" s="392">
        <f t="shared" si="84"/>
        <v>0</v>
      </c>
      <c r="N124" s="392">
        <f t="shared" si="84"/>
        <v>0</v>
      </c>
      <c r="O124" s="392">
        <f t="shared" si="84"/>
        <v>0</v>
      </c>
      <c r="P124" s="504"/>
      <c r="Q124" s="420"/>
    </row>
    <row r="125" spans="2:17">
      <c r="B125" s="575" t="s">
        <v>296</v>
      </c>
      <c r="C125" s="376" t="s">
        <v>1038</v>
      </c>
      <c r="D125" s="420" t="s">
        <v>623</v>
      </c>
      <c r="E125" s="28" t="s">
        <v>299</v>
      </c>
      <c r="F125" s="385">
        <f t="shared" ref="F125:O125" si="85">F$16/Conv_sqm_ha</f>
        <v>5.6985500000000001E-3</v>
      </c>
      <c r="G125" s="385">
        <f t="shared" si="85"/>
        <v>0</v>
      </c>
      <c r="H125" s="385">
        <f t="shared" si="85"/>
        <v>0</v>
      </c>
      <c r="I125" s="385">
        <f t="shared" si="85"/>
        <v>0</v>
      </c>
      <c r="J125" s="385">
        <f t="shared" si="85"/>
        <v>0</v>
      </c>
      <c r="K125" s="385">
        <f t="shared" si="85"/>
        <v>0</v>
      </c>
      <c r="L125" s="385">
        <f t="shared" si="85"/>
        <v>0</v>
      </c>
      <c r="M125" s="385">
        <f t="shared" si="85"/>
        <v>0</v>
      </c>
      <c r="N125" s="385">
        <f t="shared" si="85"/>
        <v>0</v>
      </c>
      <c r="O125" s="385">
        <f t="shared" si="85"/>
        <v>0</v>
      </c>
      <c r="P125" s="504"/>
      <c r="Q125" s="420"/>
    </row>
    <row r="126" spans="2:17">
      <c r="B126" s="383"/>
      <c r="C126" s="371"/>
      <c r="D126" s="420" t="s">
        <v>624</v>
      </c>
      <c r="E126" s="28" t="s">
        <v>299</v>
      </c>
      <c r="F126" s="604"/>
      <c r="G126" s="604"/>
      <c r="H126" s="604"/>
      <c r="I126" s="604"/>
      <c r="J126" s="604"/>
      <c r="K126" s="604"/>
      <c r="L126" s="604"/>
      <c r="M126" s="604"/>
      <c r="N126" s="604"/>
      <c r="O126" s="604"/>
      <c r="P126" s="504"/>
      <c r="Q126" s="420"/>
    </row>
    <row r="127" spans="2:17">
      <c r="B127" s="383"/>
      <c r="C127" s="377"/>
      <c r="D127" s="420" t="s">
        <v>625</v>
      </c>
      <c r="E127" s="28" t="s">
        <v>299</v>
      </c>
      <c r="F127" s="385">
        <f>IF(F126="",F125,F126)</f>
        <v>5.6985500000000001E-3</v>
      </c>
      <c r="G127" s="385">
        <f t="shared" ref="G127:H127" si="86">IF(G126="",G125,G126)</f>
        <v>0</v>
      </c>
      <c r="H127" s="385">
        <f t="shared" si="86"/>
        <v>0</v>
      </c>
      <c r="I127" s="385">
        <f t="shared" ref="I127:N127" si="87">IF(I126="",I125,I126)</f>
        <v>0</v>
      </c>
      <c r="J127" s="385">
        <f t="shared" si="87"/>
        <v>0</v>
      </c>
      <c r="K127" s="385">
        <f t="shared" si="87"/>
        <v>0</v>
      </c>
      <c r="L127" s="385">
        <f t="shared" si="87"/>
        <v>0</v>
      </c>
      <c r="M127" s="385">
        <f t="shared" si="87"/>
        <v>0</v>
      </c>
      <c r="N127" s="385">
        <f t="shared" si="87"/>
        <v>0</v>
      </c>
      <c r="O127" s="385">
        <f>IF(O126="",O125,O126)</f>
        <v>0</v>
      </c>
      <c r="P127" s="504"/>
      <c r="Q127" s="420"/>
    </row>
    <row r="128" spans="2:17">
      <c r="B128" s="383"/>
      <c r="C128" s="376" t="s">
        <v>1090</v>
      </c>
      <c r="D128" s="420" t="s">
        <v>623</v>
      </c>
      <c r="E128" s="28" t="s">
        <v>299</v>
      </c>
      <c r="F128" s="385">
        <f>F$45</f>
        <v>0</v>
      </c>
      <c r="G128" s="385">
        <f>G$45</f>
        <v>0</v>
      </c>
      <c r="H128" s="385">
        <f t="shared" ref="H128:N128" si="88">H$45</f>
        <v>0</v>
      </c>
      <c r="I128" s="385">
        <f t="shared" si="88"/>
        <v>0</v>
      </c>
      <c r="J128" s="385">
        <f t="shared" si="88"/>
        <v>0</v>
      </c>
      <c r="K128" s="385">
        <f t="shared" si="88"/>
        <v>0</v>
      </c>
      <c r="L128" s="385">
        <f t="shared" si="88"/>
        <v>0</v>
      </c>
      <c r="M128" s="385">
        <f t="shared" si="88"/>
        <v>0</v>
      </c>
      <c r="N128" s="385">
        <f t="shared" si="88"/>
        <v>0</v>
      </c>
      <c r="O128" s="385">
        <f>O$45</f>
        <v>0</v>
      </c>
      <c r="P128" s="504"/>
      <c r="Q128" s="420"/>
    </row>
    <row r="129" spans="2:17">
      <c r="B129" s="383"/>
      <c r="C129" s="371"/>
      <c r="D129" s="420" t="s">
        <v>624</v>
      </c>
      <c r="E129" s="28" t="s">
        <v>299</v>
      </c>
      <c r="F129" s="604"/>
      <c r="G129" s="604"/>
      <c r="H129" s="604"/>
      <c r="I129" s="604"/>
      <c r="J129" s="604"/>
      <c r="K129" s="604"/>
      <c r="L129" s="604"/>
      <c r="M129" s="604"/>
      <c r="N129" s="604"/>
      <c r="O129" s="604"/>
      <c r="P129" s="504"/>
      <c r="Q129" s="420"/>
    </row>
    <row r="130" spans="2:17">
      <c r="B130" s="383"/>
      <c r="C130" s="377"/>
      <c r="D130" s="420" t="s">
        <v>625</v>
      </c>
      <c r="E130" s="28" t="s">
        <v>299</v>
      </c>
      <c r="F130" s="385">
        <f>IF(F129="",F128,F129)</f>
        <v>0</v>
      </c>
      <c r="G130" s="385">
        <f t="shared" ref="G130:H130" si="89">IF(G129="",G128,G129)</f>
        <v>0</v>
      </c>
      <c r="H130" s="385">
        <f t="shared" si="89"/>
        <v>0</v>
      </c>
      <c r="I130" s="385">
        <f t="shared" ref="I130:N130" si="90">IF(I129="",I128,I129)</f>
        <v>0</v>
      </c>
      <c r="J130" s="385">
        <f t="shared" si="90"/>
        <v>0</v>
      </c>
      <c r="K130" s="385">
        <f t="shared" si="90"/>
        <v>0</v>
      </c>
      <c r="L130" s="385">
        <f t="shared" si="90"/>
        <v>0</v>
      </c>
      <c r="M130" s="385">
        <f t="shared" si="90"/>
        <v>0</v>
      </c>
      <c r="N130" s="385">
        <f t="shared" si="90"/>
        <v>0</v>
      </c>
      <c r="O130" s="385">
        <f>IF(O129="",O128,O129)</f>
        <v>0</v>
      </c>
      <c r="P130" s="504"/>
      <c r="Q130" s="420"/>
    </row>
    <row r="131" spans="2:17">
      <c r="B131" s="383"/>
      <c r="C131" s="376" t="s">
        <v>1060</v>
      </c>
      <c r="D131" s="420" t="s">
        <v>623</v>
      </c>
      <c r="E131" s="28" t="s">
        <v>299</v>
      </c>
      <c r="F131" s="385">
        <f>F$56</f>
        <v>0</v>
      </c>
      <c r="G131" s="385">
        <f>G$56</f>
        <v>0</v>
      </c>
      <c r="H131" s="385">
        <f t="shared" ref="H131:N131" si="91">H$56</f>
        <v>0</v>
      </c>
      <c r="I131" s="385">
        <f t="shared" si="91"/>
        <v>0</v>
      </c>
      <c r="J131" s="385">
        <f t="shared" si="91"/>
        <v>0</v>
      </c>
      <c r="K131" s="385">
        <f t="shared" si="91"/>
        <v>0</v>
      </c>
      <c r="L131" s="385">
        <f t="shared" si="91"/>
        <v>0</v>
      </c>
      <c r="M131" s="385">
        <f t="shared" si="91"/>
        <v>0</v>
      </c>
      <c r="N131" s="385">
        <f t="shared" si="91"/>
        <v>0</v>
      </c>
      <c r="O131" s="385">
        <f>O$56</f>
        <v>0</v>
      </c>
      <c r="P131" s="504"/>
      <c r="Q131" s="420"/>
    </row>
    <row r="132" spans="2:17">
      <c r="B132" s="383"/>
      <c r="C132" s="371"/>
      <c r="D132" s="420" t="s">
        <v>624</v>
      </c>
      <c r="E132" s="28" t="s">
        <v>299</v>
      </c>
      <c r="F132" s="604"/>
      <c r="G132" s="604"/>
      <c r="H132" s="604"/>
      <c r="I132" s="604"/>
      <c r="J132" s="604"/>
      <c r="K132" s="604"/>
      <c r="L132" s="604"/>
      <c r="M132" s="604"/>
      <c r="N132" s="604"/>
      <c r="O132" s="604"/>
      <c r="P132" s="504"/>
      <c r="Q132" s="420"/>
    </row>
    <row r="133" spans="2:17">
      <c r="B133" s="383"/>
      <c r="C133" s="377"/>
      <c r="D133" s="420" t="s">
        <v>625</v>
      </c>
      <c r="E133" s="28" t="s">
        <v>299</v>
      </c>
      <c r="F133" s="385">
        <f>IF(F132="",F131,F132)</f>
        <v>0</v>
      </c>
      <c r="G133" s="385">
        <f t="shared" ref="G133:H133" si="92">IF(G132="",G131,G132)</f>
        <v>0</v>
      </c>
      <c r="H133" s="385">
        <f t="shared" si="92"/>
        <v>0</v>
      </c>
      <c r="I133" s="385">
        <f t="shared" ref="I133:N133" si="93">IF(I132="",I131,I132)</f>
        <v>0</v>
      </c>
      <c r="J133" s="385">
        <f t="shared" si="93"/>
        <v>0</v>
      </c>
      <c r="K133" s="385">
        <f t="shared" si="93"/>
        <v>0</v>
      </c>
      <c r="L133" s="385">
        <f t="shared" si="93"/>
        <v>0</v>
      </c>
      <c r="M133" s="385">
        <f t="shared" si="93"/>
        <v>0</v>
      </c>
      <c r="N133" s="385">
        <f t="shared" si="93"/>
        <v>0</v>
      </c>
      <c r="O133" s="385">
        <f>IF(O132="",O131,O132)</f>
        <v>0</v>
      </c>
      <c r="P133" s="504"/>
      <c r="Q133" s="420"/>
    </row>
    <row r="134" spans="2:17">
      <c r="B134" s="383"/>
      <c r="C134" s="376" t="s">
        <v>1091</v>
      </c>
      <c r="D134" s="420" t="s">
        <v>623</v>
      </c>
      <c r="E134" s="28" t="s">
        <v>299</v>
      </c>
      <c r="F134" s="385">
        <f>F$11+F$96</f>
        <v>171.32999999999998</v>
      </c>
      <c r="G134" s="385">
        <f>G$11+G$96</f>
        <v>0</v>
      </c>
      <c r="H134" s="385">
        <f t="shared" ref="H134:N134" si="94">H$11+H$96</f>
        <v>0</v>
      </c>
      <c r="I134" s="385">
        <f t="shared" si="94"/>
        <v>0</v>
      </c>
      <c r="J134" s="385">
        <f t="shared" si="94"/>
        <v>0</v>
      </c>
      <c r="K134" s="385">
        <f t="shared" si="94"/>
        <v>0</v>
      </c>
      <c r="L134" s="385">
        <f t="shared" si="94"/>
        <v>0</v>
      </c>
      <c r="M134" s="385">
        <f t="shared" si="94"/>
        <v>0</v>
      </c>
      <c r="N134" s="385">
        <f t="shared" si="94"/>
        <v>0</v>
      </c>
      <c r="O134" s="385">
        <f>O$11+O$96</f>
        <v>0</v>
      </c>
      <c r="P134" s="504"/>
      <c r="Q134" s="420"/>
    </row>
    <row r="135" spans="2:17">
      <c r="B135" s="383"/>
      <c r="C135" s="371"/>
      <c r="D135" s="420" t="s">
        <v>624</v>
      </c>
      <c r="E135" s="28" t="s">
        <v>299</v>
      </c>
      <c r="F135" s="605"/>
      <c r="G135" s="605"/>
      <c r="H135" s="605"/>
      <c r="I135" s="605"/>
      <c r="J135" s="605"/>
      <c r="K135" s="605"/>
      <c r="L135" s="605"/>
      <c r="M135" s="605"/>
      <c r="N135" s="605"/>
      <c r="O135" s="605"/>
      <c r="P135" s="504"/>
      <c r="Q135" s="420"/>
    </row>
    <row r="136" spans="2:17">
      <c r="B136" s="383"/>
      <c r="C136" s="377"/>
      <c r="D136" s="420" t="s">
        <v>625</v>
      </c>
      <c r="E136" s="28" t="s">
        <v>299</v>
      </c>
      <c r="F136" s="385">
        <f>IF(F135="",F134,F135)</f>
        <v>171.32999999999998</v>
      </c>
      <c r="G136" s="385">
        <f t="shared" ref="G136:H136" si="95">IF(G135="",G134,G135)</f>
        <v>0</v>
      </c>
      <c r="H136" s="385">
        <f t="shared" si="95"/>
        <v>0</v>
      </c>
      <c r="I136" s="385">
        <f t="shared" ref="I136:N136" si="96">IF(I135="",I134,I135)</f>
        <v>0</v>
      </c>
      <c r="J136" s="385">
        <f t="shared" si="96"/>
        <v>0</v>
      </c>
      <c r="K136" s="385">
        <f t="shared" si="96"/>
        <v>0</v>
      </c>
      <c r="L136" s="385">
        <f t="shared" si="96"/>
        <v>0</v>
      </c>
      <c r="M136" s="385">
        <f t="shared" si="96"/>
        <v>0</v>
      </c>
      <c r="N136" s="385">
        <f t="shared" si="96"/>
        <v>0</v>
      </c>
      <c r="O136" s="385">
        <f>IF(O135="",O134,O135)</f>
        <v>0</v>
      </c>
      <c r="P136" s="504"/>
      <c r="Q136" s="420"/>
    </row>
    <row r="137" spans="2:17">
      <c r="B137" s="383"/>
      <c r="C137" s="346" t="s">
        <v>1092</v>
      </c>
      <c r="D137" s="420" t="s">
        <v>214</v>
      </c>
      <c r="E137" s="28" t="s">
        <v>299</v>
      </c>
      <c r="F137" s="605"/>
      <c r="G137" s="605"/>
      <c r="H137" s="605"/>
      <c r="I137" s="605"/>
      <c r="J137" s="605"/>
      <c r="K137" s="605"/>
      <c r="L137" s="605"/>
      <c r="M137" s="605"/>
      <c r="N137" s="605"/>
      <c r="O137" s="605"/>
      <c r="P137" s="504"/>
      <c r="Q137" s="420"/>
    </row>
    <row r="138" spans="2:17">
      <c r="B138" s="383"/>
      <c r="C138" s="346" t="s">
        <v>1093</v>
      </c>
      <c r="D138" s="420" t="s">
        <v>214</v>
      </c>
      <c r="E138" s="28" t="s">
        <v>299</v>
      </c>
      <c r="F138" s="70">
        <f>SUM(F127,F130,F133,F136,F135,F137)</f>
        <v>171.33569854999999</v>
      </c>
      <c r="G138" s="70">
        <f t="shared" ref="G138:O138" si="97">SUM(G127,G130,G133,G136,G135,G137)</f>
        <v>0</v>
      </c>
      <c r="H138" s="70">
        <f t="shared" si="97"/>
        <v>0</v>
      </c>
      <c r="I138" s="70">
        <f t="shared" si="97"/>
        <v>0</v>
      </c>
      <c r="J138" s="70">
        <f t="shared" si="97"/>
        <v>0</v>
      </c>
      <c r="K138" s="70">
        <f t="shared" si="97"/>
        <v>0</v>
      </c>
      <c r="L138" s="70">
        <f t="shared" si="97"/>
        <v>0</v>
      </c>
      <c r="M138" s="70">
        <f t="shared" si="97"/>
        <v>0</v>
      </c>
      <c r="N138" s="70">
        <f t="shared" si="97"/>
        <v>0</v>
      </c>
      <c r="O138" s="70">
        <f t="shared" si="97"/>
        <v>0</v>
      </c>
      <c r="P138" s="504"/>
      <c r="Q138" s="420"/>
    </row>
    <row r="139" spans="2:17">
      <c r="B139" s="383"/>
      <c r="C139" s="376" t="str">
        <f t="shared" ref="C139" si="98">Growth_media</f>
        <v>Growth media</v>
      </c>
      <c r="D139" s="420" t="s">
        <v>304</v>
      </c>
      <c r="E139" s="28" t="s">
        <v>211</v>
      </c>
      <c r="F139" s="70">
        <f t="shared" ref="F139" si="99">Haul_roads_track_rail_growth_media_thickness/Conv_mm_in_metres</f>
        <v>0.15</v>
      </c>
      <c r="G139" s="70">
        <v>0.15</v>
      </c>
      <c r="H139" s="70">
        <v>0.15</v>
      </c>
      <c r="I139" s="70">
        <v>0.15</v>
      </c>
      <c r="J139" s="70">
        <v>0.15</v>
      </c>
      <c r="K139" s="70">
        <v>0.15</v>
      </c>
      <c r="L139" s="70">
        <v>0.15</v>
      </c>
      <c r="M139" s="70">
        <v>0.15</v>
      </c>
      <c r="N139" s="70">
        <v>0.15</v>
      </c>
      <c r="O139" s="70">
        <v>0.15</v>
      </c>
      <c r="P139" s="504"/>
      <c r="Q139" s="420"/>
    </row>
    <row r="140" spans="2:17">
      <c r="B140" s="383"/>
      <c r="C140" s="371"/>
      <c r="D140" s="420" t="s">
        <v>305</v>
      </c>
      <c r="E140" s="28" t="s">
        <v>211</v>
      </c>
      <c r="F140" s="411"/>
      <c r="G140" s="411"/>
      <c r="H140" s="411"/>
      <c r="I140" s="411"/>
      <c r="J140" s="411"/>
      <c r="K140" s="411"/>
      <c r="L140" s="411"/>
      <c r="M140" s="411"/>
      <c r="N140" s="411"/>
      <c r="O140" s="411"/>
      <c r="P140" s="504"/>
      <c r="Q140" s="420"/>
    </row>
    <row r="141" spans="2:17">
      <c r="B141" s="383"/>
      <c r="C141" s="371"/>
      <c r="D141" s="420" t="s">
        <v>306</v>
      </c>
      <c r="E141" s="28" t="s">
        <v>211</v>
      </c>
      <c r="F141" s="70">
        <f>IF(F140="",F139,F140)</f>
        <v>0.15</v>
      </c>
      <c r="G141" s="70">
        <f t="shared" ref="G141:O141" si="100">IF(G140="",G139,G140)</f>
        <v>0.15</v>
      </c>
      <c r="H141" s="70">
        <f t="shared" si="100"/>
        <v>0.15</v>
      </c>
      <c r="I141" s="70">
        <f t="shared" si="100"/>
        <v>0.15</v>
      </c>
      <c r="J141" s="70">
        <f t="shared" si="100"/>
        <v>0.15</v>
      </c>
      <c r="K141" s="70">
        <f t="shared" si="100"/>
        <v>0.15</v>
      </c>
      <c r="L141" s="70">
        <f t="shared" si="100"/>
        <v>0.15</v>
      </c>
      <c r="M141" s="70">
        <f t="shared" si="100"/>
        <v>0.15</v>
      </c>
      <c r="N141" s="70">
        <f t="shared" si="100"/>
        <v>0.15</v>
      </c>
      <c r="O141" s="70">
        <f t="shared" si="100"/>
        <v>0.15</v>
      </c>
      <c r="P141" s="504"/>
      <c r="Q141" s="420"/>
    </row>
    <row r="142" spans="2:17">
      <c r="B142" s="383"/>
      <c r="C142" s="371"/>
      <c r="D142" s="420" t="s">
        <v>307</v>
      </c>
      <c r="E142" s="28" t="s">
        <v>219</v>
      </c>
      <c r="F142" s="367">
        <f t="shared" ref="F142:O142" si="101">F138*Conv_sqm_ha*F141</f>
        <v>257003.54782499999</v>
      </c>
      <c r="G142" s="367">
        <f t="shared" si="101"/>
        <v>0</v>
      </c>
      <c r="H142" s="367">
        <f t="shared" si="101"/>
        <v>0</v>
      </c>
      <c r="I142" s="367">
        <f t="shared" si="101"/>
        <v>0</v>
      </c>
      <c r="J142" s="367">
        <f t="shared" si="101"/>
        <v>0</v>
      </c>
      <c r="K142" s="367">
        <f t="shared" si="101"/>
        <v>0</v>
      </c>
      <c r="L142" s="367">
        <f t="shared" si="101"/>
        <v>0</v>
      </c>
      <c r="M142" s="367">
        <f t="shared" si="101"/>
        <v>0</v>
      </c>
      <c r="N142" s="367">
        <f t="shared" si="101"/>
        <v>0</v>
      </c>
      <c r="O142" s="367">
        <f t="shared" si="101"/>
        <v>0</v>
      </c>
      <c r="P142" s="504"/>
      <c r="Q142" s="420"/>
    </row>
    <row r="143" spans="2:17" ht="33.75">
      <c r="B143" s="383"/>
      <c r="C143" s="371"/>
      <c r="D143" s="420" t="s">
        <v>308</v>
      </c>
      <c r="E143" s="28" t="s">
        <v>211</v>
      </c>
      <c r="F143" s="412" t="s">
        <v>309</v>
      </c>
      <c r="G143" s="412" t="s">
        <v>309</v>
      </c>
      <c r="H143" s="412" t="s">
        <v>309</v>
      </c>
      <c r="I143" s="412" t="s">
        <v>309</v>
      </c>
      <c r="J143" s="412" t="s">
        <v>309</v>
      </c>
      <c r="K143" s="412" t="s">
        <v>309</v>
      </c>
      <c r="L143" s="412" t="s">
        <v>309</v>
      </c>
      <c r="M143" s="412" t="s">
        <v>309</v>
      </c>
      <c r="N143" s="412" t="s">
        <v>309</v>
      </c>
      <c r="O143" s="412" t="s">
        <v>309</v>
      </c>
      <c r="P143" s="504"/>
      <c r="Q143" s="420"/>
    </row>
    <row r="144" spans="2:17">
      <c r="B144" s="383"/>
      <c r="C144" s="371"/>
      <c r="D144" s="420" t="s">
        <v>227</v>
      </c>
      <c r="E144" s="28" t="s">
        <v>241</v>
      </c>
      <c r="F144" s="342">
        <f t="shared" ref="F144:O144" si="102">_xlfn.XLOOKUP(F143,Load_haul_soil_names_CS,Load_haul_soil_rates_CS)</f>
        <v>4.7790031332219423</v>
      </c>
      <c r="G144" s="342">
        <f t="shared" si="102"/>
        <v>4.7790031332219423</v>
      </c>
      <c r="H144" s="342">
        <f t="shared" si="102"/>
        <v>4.7790031332219423</v>
      </c>
      <c r="I144" s="342">
        <f t="shared" si="102"/>
        <v>4.7790031332219423</v>
      </c>
      <c r="J144" s="342">
        <f t="shared" si="102"/>
        <v>4.7790031332219423</v>
      </c>
      <c r="K144" s="342">
        <f t="shared" si="102"/>
        <v>4.7790031332219423</v>
      </c>
      <c r="L144" s="342">
        <f t="shared" si="102"/>
        <v>4.7790031332219423</v>
      </c>
      <c r="M144" s="342">
        <f t="shared" si="102"/>
        <v>4.7790031332219423</v>
      </c>
      <c r="N144" s="342">
        <f t="shared" si="102"/>
        <v>4.7790031332219423</v>
      </c>
      <c r="O144" s="342">
        <f t="shared" si="102"/>
        <v>4.7790031332219423</v>
      </c>
      <c r="P144" s="504"/>
      <c r="Q144" s="427"/>
    </row>
    <row r="145" spans="2:17">
      <c r="B145" s="383"/>
      <c r="C145" s="371"/>
      <c r="D145" s="337" t="s">
        <v>229</v>
      </c>
      <c r="E145" s="28" t="s">
        <v>241</v>
      </c>
      <c r="F145" s="414"/>
      <c r="G145" s="414"/>
      <c r="H145" s="414"/>
      <c r="I145" s="414"/>
      <c r="J145" s="414"/>
      <c r="K145" s="414"/>
      <c r="L145" s="414"/>
      <c r="M145" s="414"/>
      <c r="N145" s="414"/>
      <c r="O145" s="414"/>
      <c r="P145" s="504"/>
      <c r="Q145" s="420"/>
    </row>
    <row r="146" spans="2:17">
      <c r="B146" s="386"/>
      <c r="C146" s="377"/>
      <c r="D146" s="420" t="s">
        <v>146</v>
      </c>
      <c r="E146" s="28" t="s">
        <v>207</v>
      </c>
      <c r="F146" s="378">
        <f>IF(F145="",F144,F145)*F142</f>
        <v>1228220.7603048303</v>
      </c>
      <c r="G146" s="378">
        <f t="shared" ref="G146:H146" si="103">IF(G145="",G144,G145)*G142</f>
        <v>0</v>
      </c>
      <c r="H146" s="378">
        <f t="shared" si="103"/>
        <v>0</v>
      </c>
      <c r="I146" s="378">
        <f t="shared" ref="I146:N146" si="104">IF(I145="",I144,I145)*I142</f>
        <v>0</v>
      </c>
      <c r="J146" s="378">
        <f t="shared" si="104"/>
        <v>0</v>
      </c>
      <c r="K146" s="378">
        <f t="shared" si="104"/>
        <v>0</v>
      </c>
      <c r="L146" s="378">
        <f t="shared" si="104"/>
        <v>0</v>
      </c>
      <c r="M146" s="378">
        <f t="shared" si="104"/>
        <v>0</v>
      </c>
      <c r="N146" s="378">
        <f t="shared" si="104"/>
        <v>0</v>
      </c>
      <c r="O146" s="378">
        <f>IF(O145="",O144,O145)*O142</f>
        <v>0</v>
      </c>
      <c r="P146" s="504"/>
      <c r="Q146" s="420"/>
    </row>
    <row r="147" spans="2:17" ht="12" thickBot="1">
      <c r="B147" s="573"/>
      <c r="C147" s="574"/>
      <c r="D147" s="552" t="str">
        <f>B125</f>
        <v>Source and apply growth media</v>
      </c>
      <c r="E147" s="72"/>
      <c r="F147" s="365">
        <f>F146</f>
        <v>1228220.7603048303</v>
      </c>
      <c r="G147" s="365">
        <f t="shared" ref="G147:H147" si="105">G146</f>
        <v>0</v>
      </c>
      <c r="H147" s="365">
        <f t="shared" si="105"/>
        <v>0</v>
      </c>
      <c r="I147" s="365">
        <f t="shared" ref="I147:N147" si="106">I146</f>
        <v>0</v>
      </c>
      <c r="J147" s="365">
        <f t="shared" si="106"/>
        <v>0</v>
      </c>
      <c r="K147" s="365">
        <f t="shared" si="106"/>
        <v>0</v>
      </c>
      <c r="L147" s="365">
        <f t="shared" si="106"/>
        <v>0</v>
      </c>
      <c r="M147" s="365">
        <f t="shared" si="106"/>
        <v>0</v>
      </c>
      <c r="N147" s="365">
        <f t="shared" si="106"/>
        <v>0</v>
      </c>
      <c r="O147" s="365">
        <f>O146</f>
        <v>0</v>
      </c>
      <c r="P147" s="504"/>
      <c r="Q147" s="420"/>
    </row>
    <row r="148" spans="2:17" ht="12" thickTop="1">
      <c r="B148" s="575" t="s">
        <v>310</v>
      </c>
      <c r="C148" s="376" t="s">
        <v>1038</v>
      </c>
      <c r="D148" s="420" t="s">
        <v>623</v>
      </c>
      <c r="E148" s="28" t="s">
        <v>299</v>
      </c>
      <c r="F148" s="347">
        <f t="shared" ref="F148:O148" si="107">F$16/Conv_sqm_ha</f>
        <v>5.6985500000000001E-3</v>
      </c>
      <c r="G148" s="347">
        <f t="shared" si="107"/>
        <v>0</v>
      </c>
      <c r="H148" s="347">
        <f t="shared" si="107"/>
        <v>0</v>
      </c>
      <c r="I148" s="347">
        <f t="shared" si="107"/>
        <v>0</v>
      </c>
      <c r="J148" s="347">
        <f t="shared" si="107"/>
        <v>0</v>
      </c>
      <c r="K148" s="347">
        <f t="shared" si="107"/>
        <v>0</v>
      </c>
      <c r="L148" s="347">
        <f t="shared" si="107"/>
        <v>0</v>
      </c>
      <c r="M148" s="347">
        <f t="shared" si="107"/>
        <v>0</v>
      </c>
      <c r="N148" s="347">
        <f t="shared" si="107"/>
        <v>0</v>
      </c>
      <c r="O148" s="347">
        <f t="shared" si="107"/>
        <v>0</v>
      </c>
      <c r="P148" s="504"/>
      <c r="Q148" s="420"/>
    </row>
    <row r="149" spans="2:17">
      <c r="B149" s="383"/>
      <c r="C149" s="371"/>
      <c r="D149" s="420" t="s">
        <v>624</v>
      </c>
      <c r="E149" s="28" t="s">
        <v>299</v>
      </c>
      <c r="F149" s="606"/>
      <c r="G149" s="606"/>
      <c r="H149" s="606"/>
      <c r="I149" s="606"/>
      <c r="J149" s="606"/>
      <c r="K149" s="606"/>
      <c r="L149" s="606"/>
      <c r="M149" s="606"/>
      <c r="N149" s="606"/>
      <c r="O149" s="606"/>
      <c r="P149" s="504"/>
      <c r="Q149" s="420"/>
    </row>
    <row r="150" spans="2:17">
      <c r="B150" s="383"/>
      <c r="C150" s="377"/>
      <c r="D150" s="420" t="s">
        <v>625</v>
      </c>
      <c r="E150" s="28" t="s">
        <v>299</v>
      </c>
      <c r="F150" s="347">
        <f>IF(F149="",F148,F149)</f>
        <v>5.6985500000000001E-3</v>
      </c>
      <c r="G150" s="347">
        <f t="shared" ref="G150:H150" si="108">IF(G149="",G148,G149)</f>
        <v>0</v>
      </c>
      <c r="H150" s="347">
        <f t="shared" si="108"/>
        <v>0</v>
      </c>
      <c r="I150" s="347">
        <f t="shared" ref="I150:O150" si="109">IF(I149="",I148,I149)</f>
        <v>0</v>
      </c>
      <c r="J150" s="347">
        <f t="shared" si="109"/>
        <v>0</v>
      </c>
      <c r="K150" s="347">
        <f t="shared" si="109"/>
        <v>0</v>
      </c>
      <c r="L150" s="347">
        <f t="shared" si="109"/>
        <v>0</v>
      </c>
      <c r="M150" s="347">
        <f t="shared" si="109"/>
        <v>0</v>
      </c>
      <c r="N150" s="347">
        <f t="shared" si="109"/>
        <v>0</v>
      </c>
      <c r="O150" s="347">
        <f t="shared" si="109"/>
        <v>0</v>
      </c>
      <c r="P150" s="504"/>
      <c r="Q150" s="420"/>
    </row>
    <row r="151" spans="2:17">
      <c r="B151" s="383"/>
      <c r="C151" s="376" t="s">
        <v>1090</v>
      </c>
      <c r="D151" s="420" t="s">
        <v>623</v>
      </c>
      <c r="E151" s="28" t="s">
        <v>299</v>
      </c>
      <c r="F151" s="347">
        <f>F$45</f>
        <v>0</v>
      </c>
      <c r="G151" s="347">
        <f>G$45</f>
        <v>0</v>
      </c>
      <c r="H151" s="347">
        <f t="shared" ref="H151:O151" si="110">H$45</f>
        <v>0</v>
      </c>
      <c r="I151" s="347">
        <f t="shared" si="110"/>
        <v>0</v>
      </c>
      <c r="J151" s="347">
        <f t="shared" si="110"/>
        <v>0</v>
      </c>
      <c r="K151" s="347">
        <f t="shared" si="110"/>
        <v>0</v>
      </c>
      <c r="L151" s="347">
        <f t="shared" si="110"/>
        <v>0</v>
      </c>
      <c r="M151" s="347">
        <f t="shared" si="110"/>
        <v>0</v>
      </c>
      <c r="N151" s="347">
        <f t="shared" si="110"/>
        <v>0</v>
      </c>
      <c r="O151" s="347">
        <f t="shared" si="110"/>
        <v>0</v>
      </c>
      <c r="P151" s="504"/>
      <c r="Q151" s="420"/>
    </row>
    <row r="152" spans="2:17">
      <c r="B152" s="383"/>
      <c r="C152" s="371"/>
      <c r="D152" s="420" t="s">
        <v>624</v>
      </c>
      <c r="E152" s="28" t="s">
        <v>299</v>
      </c>
      <c r="F152" s="606"/>
      <c r="G152" s="606"/>
      <c r="H152" s="606"/>
      <c r="I152" s="606"/>
      <c r="J152" s="606"/>
      <c r="K152" s="606"/>
      <c r="L152" s="606"/>
      <c r="M152" s="606"/>
      <c r="N152" s="606"/>
      <c r="O152" s="606"/>
      <c r="P152" s="504"/>
      <c r="Q152" s="420"/>
    </row>
    <row r="153" spans="2:17">
      <c r="B153" s="383"/>
      <c r="C153" s="377"/>
      <c r="D153" s="420" t="s">
        <v>625</v>
      </c>
      <c r="E153" s="28" t="s">
        <v>299</v>
      </c>
      <c r="F153" s="347">
        <f>IF(F152="",F151,F152)</f>
        <v>0</v>
      </c>
      <c r="G153" s="347">
        <f t="shared" ref="G153:H153" si="111">IF(G152="",G151,G152)</f>
        <v>0</v>
      </c>
      <c r="H153" s="347">
        <f t="shared" si="111"/>
        <v>0</v>
      </c>
      <c r="I153" s="347">
        <f t="shared" ref="I153:O153" si="112">IF(I152="",I151,I152)</f>
        <v>0</v>
      </c>
      <c r="J153" s="347">
        <f t="shared" si="112"/>
        <v>0</v>
      </c>
      <c r="K153" s="347">
        <f t="shared" si="112"/>
        <v>0</v>
      </c>
      <c r="L153" s="347">
        <f t="shared" si="112"/>
        <v>0</v>
      </c>
      <c r="M153" s="347">
        <f t="shared" si="112"/>
        <v>0</v>
      </c>
      <c r="N153" s="347">
        <f t="shared" si="112"/>
        <v>0</v>
      </c>
      <c r="O153" s="347">
        <f t="shared" si="112"/>
        <v>0</v>
      </c>
      <c r="P153" s="504"/>
      <c r="Q153" s="420"/>
    </row>
    <row r="154" spans="2:17">
      <c r="B154" s="383"/>
      <c r="C154" s="376" t="s">
        <v>1060</v>
      </c>
      <c r="D154" s="420" t="s">
        <v>623</v>
      </c>
      <c r="E154" s="28" t="s">
        <v>299</v>
      </c>
      <c r="F154" s="347">
        <f>F$56</f>
        <v>0</v>
      </c>
      <c r="G154" s="347">
        <f>G$56</f>
        <v>0</v>
      </c>
      <c r="H154" s="347">
        <f t="shared" ref="H154:O154" si="113">H$56</f>
        <v>0</v>
      </c>
      <c r="I154" s="347">
        <f t="shared" si="113"/>
        <v>0</v>
      </c>
      <c r="J154" s="347">
        <f t="shared" si="113"/>
        <v>0</v>
      </c>
      <c r="K154" s="347">
        <f t="shared" si="113"/>
        <v>0</v>
      </c>
      <c r="L154" s="347">
        <f t="shared" si="113"/>
        <v>0</v>
      </c>
      <c r="M154" s="347">
        <f t="shared" si="113"/>
        <v>0</v>
      </c>
      <c r="N154" s="347">
        <f t="shared" si="113"/>
        <v>0</v>
      </c>
      <c r="O154" s="347">
        <f t="shared" si="113"/>
        <v>0</v>
      </c>
      <c r="P154" s="504"/>
      <c r="Q154" s="420"/>
    </row>
    <row r="155" spans="2:17">
      <c r="B155" s="383"/>
      <c r="C155" s="371"/>
      <c r="D155" s="420" t="s">
        <v>624</v>
      </c>
      <c r="E155" s="28" t="s">
        <v>299</v>
      </c>
      <c r="F155" s="606"/>
      <c r="G155" s="606"/>
      <c r="H155" s="606"/>
      <c r="I155" s="606"/>
      <c r="J155" s="606"/>
      <c r="K155" s="606"/>
      <c r="L155" s="606"/>
      <c r="M155" s="606"/>
      <c r="N155" s="606"/>
      <c r="O155" s="606"/>
      <c r="P155" s="504"/>
      <c r="Q155" s="420"/>
    </row>
    <row r="156" spans="2:17">
      <c r="B156" s="383"/>
      <c r="C156" s="377"/>
      <c r="D156" s="420" t="s">
        <v>625</v>
      </c>
      <c r="E156" s="28" t="s">
        <v>299</v>
      </c>
      <c r="F156" s="347">
        <f>IF(F155="",F154,F155)</f>
        <v>0</v>
      </c>
      <c r="G156" s="347">
        <f t="shared" ref="G156:H156" si="114">IF(G155="",G154,G155)</f>
        <v>0</v>
      </c>
      <c r="H156" s="347">
        <f t="shared" si="114"/>
        <v>0</v>
      </c>
      <c r="I156" s="347">
        <f t="shared" ref="I156:O156" si="115">IF(I155="",I154,I155)</f>
        <v>0</v>
      </c>
      <c r="J156" s="347">
        <f t="shared" si="115"/>
        <v>0</v>
      </c>
      <c r="K156" s="347">
        <f t="shared" si="115"/>
        <v>0</v>
      </c>
      <c r="L156" s="347">
        <f t="shared" si="115"/>
        <v>0</v>
      </c>
      <c r="M156" s="347">
        <f t="shared" si="115"/>
        <v>0</v>
      </c>
      <c r="N156" s="347">
        <f t="shared" si="115"/>
        <v>0</v>
      </c>
      <c r="O156" s="347">
        <f t="shared" si="115"/>
        <v>0</v>
      </c>
      <c r="P156" s="504"/>
      <c r="Q156" s="420"/>
    </row>
    <row r="157" spans="2:17">
      <c r="B157" s="383"/>
      <c r="C157" s="376" t="s">
        <v>1091</v>
      </c>
      <c r="D157" s="420" t="s">
        <v>623</v>
      </c>
      <c r="E157" s="28" t="s">
        <v>299</v>
      </c>
      <c r="F157" s="347">
        <f>F$11+F$96</f>
        <v>171.32999999999998</v>
      </c>
      <c r="G157" s="347">
        <f>G$11+G$96</f>
        <v>0</v>
      </c>
      <c r="H157" s="347">
        <f t="shared" ref="H157:O157" si="116">H$11+H$96</f>
        <v>0</v>
      </c>
      <c r="I157" s="347">
        <f t="shared" si="116"/>
        <v>0</v>
      </c>
      <c r="J157" s="347">
        <f t="shared" si="116"/>
        <v>0</v>
      </c>
      <c r="K157" s="347">
        <f t="shared" si="116"/>
        <v>0</v>
      </c>
      <c r="L157" s="347">
        <f t="shared" si="116"/>
        <v>0</v>
      </c>
      <c r="M157" s="347">
        <f t="shared" si="116"/>
        <v>0</v>
      </c>
      <c r="N157" s="347">
        <f t="shared" si="116"/>
        <v>0</v>
      </c>
      <c r="O157" s="347">
        <f t="shared" si="116"/>
        <v>0</v>
      </c>
      <c r="P157" s="504"/>
      <c r="Q157" s="420"/>
    </row>
    <row r="158" spans="2:17">
      <c r="B158" s="383"/>
      <c r="C158" s="371"/>
      <c r="D158" s="420" t="s">
        <v>624</v>
      </c>
      <c r="E158" s="28" t="s">
        <v>299</v>
      </c>
      <c r="F158" s="606"/>
      <c r="G158" s="606"/>
      <c r="H158" s="606"/>
      <c r="I158" s="606"/>
      <c r="J158" s="606"/>
      <c r="K158" s="606"/>
      <c r="L158" s="606"/>
      <c r="M158" s="606"/>
      <c r="N158" s="606"/>
      <c r="O158" s="606"/>
      <c r="P158" s="504"/>
      <c r="Q158" s="420"/>
    </row>
    <row r="159" spans="2:17">
      <c r="B159" s="383"/>
      <c r="C159" s="377"/>
      <c r="D159" s="420" t="s">
        <v>625</v>
      </c>
      <c r="E159" s="28" t="s">
        <v>299</v>
      </c>
      <c r="F159" s="347">
        <f>IF(F158="",F157,F158)</f>
        <v>171.32999999999998</v>
      </c>
      <c r="G159" s="347">
        <f t="shared" ref="G159:H159" si="117">IF(G158="",G157,G158)</f>
        <v>0</v>
      </c>
      <c r="H159" s="347">
        <f t="shared" si="117"/>
        <v>0</v>
      </c>
      <c r="I159" s="347">
        <f t="shared" ref="I159:O159" si="118">IF(I158="",I157,I158)</f>
        <v>0</v>
      </c>
      <c r="J159" s="347">
        <f t="shared" si="118"/>
        <v>0</v>
      </c>
      <c r="K159" s="347">
        <f t="shared" si="118"/>
        <v>0</v>
      </c>
      <c r="L159" s="347">
        <f t="shared" si="118"/>
        <v>0</v>
      </c>
      <c r="M159" s="347">
        <f t="shared" si="118"/>
        <v>0</v>
      </c>
      <c r="N159" s="347">
        <f t="shared" si="118"/>
        <v>0</v>
      </c>
      <c r="O159" s="347">
        <f t="shared" si="118"/>
        <v>0</v>
      </c>
      <c r="P159" s="504"/>
      <c r="Q159" s="420"/>
    </row>
    <row r="160" spans="2:17">
      <c r="B160" s="383"/>
      <c r="C160" s="346" t="s">
        <v>1092</v>
      </c>
      <c r="D160" s="420" t="s">
        <v>624</v>
      </c>
      <c r="E160" s="28" t="s">
        <v>299</v>
      </c>
      <c r="F160" s="606"/>
      <c r="G160" s="606"/>
      <c r="H160" s="606"/>
      <c r="I160" s="606"/>
      <c r="J160" s="606"/>
      <c r="K160" s="606"/>
      <c r="L160" s="606"/>
      <c r="M160" s="606"/>
      <c r="N160" s="606"/>
      <c r="O160" s="606"/>
      <c r="P160" s="504"/>
      <c r="Q160" s="420"/>
    </row>
    <row r="161" spans="2:17">
      <c r="B161" s="383"/>
      <c r="C161" s="346" t="s">
        <v>1093</v>
      </c>
      <c r="D161" s="420" t="s">
        <v>303</v>
      </c>
      <c r="E161" s="28" t="s">
        <v>299</v>
      </c>
      <c r="F161" s="347">
        <f>SUM(F150,F153,F156,F159,F160)</f>
        <v>171.33569854999999</v>
      </c>
      <c r="G161" s="347">
        <f t="shared" ref="G161:H161" si="119">SUM(G150,G153,G156,G159,G160)</f>
        <v>0</v>
      </c>
      <c r="H161" s="347">
        <f t="shared" si="119"/>
        <v>0</v>
      </c>
      <c r="I161" s="347">
        <f t="shared" ref="I161:O161" si="120">SUM(I150,I153,I156,I159,I160)</f>
        <v>0</v>
      </c>
      <c r="J161" s="347">
        <f t="shared" si="120"/>
        <v>0</v>
      </c>
      <c r="K161" s="347">
        <f t="shared" si="120"/>
        <v>0</v>
      </c>
      <c r="L161" s="347">
        <f t="shared" si="120"/>
        <v>0</v>
      </c>
      <c r="M161" s="347">
        <f t="shared" si="120"/>
        <v>0</v>
      </c>
      <c r="N161" s="347">
        <f t="shared" si="120"/>
        <v>0</v>
      </c>
      <c r="O161" s="347">
        <f t="shared" si="120"/>
        <v>0</v>
      </c>
      <c r="P161" s="504"/>
      <c r="Q161" s="420"/>
    </row>
    <row r="162" spans="2:17" ht="22.5">
      <c r="B162" s="383"/>
      <c r="C162" s="376" t="str">
        <f t="shared" ref="C162" si="121">Ameliorants</f>
        <v>Ameliorants</v>
      </c>
      <c r="D162" s="420" t="s">
        <v>311</v>
      </c>
      <c r="E162" s="28" t="s">
        <v>123</v>
      </c>
      <c r="F162" s="412" t="s">
        <v>312</v>
      </c>
      <c r="G162" s="412" t="s">
        <v>312</v>
      </c>
      <c r="H162" s="412" t="s">
        <v>316</v>
      </c>
      <c r="I162" s="412" t="s">
        <v>316</v>
      </c>
      <c r="J162" s="412" t="s">
        <v>317</v>
      </c>
      <c r="K162" s="412" t="s">
        <v>318</v>
      </c>
      <c r="L162" s="412" t="s">
        <v>319</v>
      </c>
      <c r="M162" s="412" t="s">
        <v>312</v>
      </c>
      <c r="N162" s="412" t="s">
        <v>312</v>
      </c>
      <c r="O162" s="412" t="s">
        <v>312</v>
      </c>
      <c r="P162" s="504"/>
      <c r="Q162" s="420"/>
    </row>
    <row r="163" spans="2:17">
      <c r="B163" s="383"/>
      <c r="C163" s="371"/>
      <c r="D163" s="420" t="s">
        <v>320</v>
      </c>
      <c r="E163" s="28" t="s">
        <v>321</v>
      </c>
      <c r="F163" s="345">
        <f>_xlfn.XLOOKUP(F162,'Assumptions - General'!$B$5:$B$14,'Assumptions - General'!$C$5:$C$14)</f>
        <v>2.5</v>
      </c>
      <c r="G163" s="345">
        <f>_xlfn.XLOOKUP(G162,'Assumptions - General'!$B$5:$B$14,'Assumptions - General'!$C$5:$C$14)</f>
        <v>2.5</v>
      </c>
      <c r="H163" s="345">
        <f>_xlfn.XLOOKUP(H162,'Assumptions - General'!$B$5:$B$14,'Assumptions - General'!$C$5:$C$14)</f>
        <v>5</v>
      </c>
      <c r="I163" s="345">
        <f>_xlfn.XLOOKUP(I162,'Assumptions - General'!$B$5:$B$14,'Assumptions - General'!$C$5:$C$14)</f>
        <v>5</v>
      </c>
      <c r="J163" s="345">
        <f>_xlfn.XLOOKUP(J162,'Assumptions - General'!$B$5:$B$14,'Assumptions - General'!$C$5:$C$14)</f>
        <v>0.3</v>
      </c>
      <c r="K163" s="345">
        <f>_xlfn.XLOOKUP(K162,'Assumptions - General'!$B$5:$B$14,'Assumptions - General'!$C$5:$C$14)</f>
        <v>0.1</v>
      </c>
      <c r="L163" s="345">
        <f>_xlfn.XLOOKUP(L162,'Assumptions - General'!$B$5:$B$14,'Assumptions - General'!$C$5:$C$14)</f>
        <v>0.1</v>
      </c>
      <c r="M163" s="345">
        <f>_xlfn.XLOOKUP(M162,'Assumptions - General'!$B$5:$B$14,'Assumptions - General'!$C$5:$C$14)</f>
        <v>2.5</v>
      </c>
      <c r="N163" s="345">
        <f>_xlfn.XLOOKUP(N162,'Assumptions - General'!$B$5:$B$14,'Assumptions - General'!$C$5:$C$14)</f>
        <v>2.5</v>
      </c>
      <c r="O163" s="345">
        <f>_xlfn.XLOOKUP(O162,'Assumptions - General'!$B$5:$B$14,'Assumptions - General'!$C$5:$C$14)</f>
        <v>2.5</v>
      </c>
      <c r="P163" s="504"/>
      <c r="Q163" s="420"/>
    </row>
    <row r="164" spans="2:17">
      <c r="B164" s="386"/>
      <c r="C164" s="371"/>
      <c r="D164" s="420" t="s">
        <v>322</v>
      </c>
      <c r="E164" s="28" t="s">
        <v>221</v>
      </c>
      <c r="F164" s="345">
        <f>F161*F163</f>
        <v>428.33924637499996</v>
      </c>
      <c r="G164" s="345">
        <f t="shared" ref="G164:H164" si="122">G161*G163</f>
        <v>0</v>
      </c>
      <c r="H164" s="345">
        <f t="shared" si="122"/>
        <v>0</v>
      </c>
      <c r="I164" s="345">
        <f t="shared" ref="I164:O164" si="123">I161*I163</f>
        <v>0</v>
      </c>
      <c r="J164" s="345">
        <f t="shared" si="123"/>
        <v>0</v>
      </c>
      <c r="K164" s="345">
        <f t="shared" si="123"/>
        <v>0</v>
      </c>
      <c r="L164" s="345">
        <f t="shared" si="123"/>
        <v>0</v>
      </c>
      <c r="M164" s="345">
        <f t="shared" si="123"/>
        <v>0</v>
      </c>
      <c r="N164" s="345">
        <f t="shared" si="123"/>
        <v>0</v>
      </c>
      <c r="O164" s="345">
        <f t="shared" si="123"/>
        <v>0</v>
      </c>
      <c r="P164" s="504"/>
      <c r="Q164" s="420"/>
    </row>
    <row r="165" spans="2:17">
      <c r="B165" s="382" t="s">
        <v>323</v>
      </c>
      <c r="C165" s="371"/>
      <c r="D165" s="420" t="s">
        <v>227</v>
      </c>
      <c r="E165" s="28" t="s">
        <v>228</v>
      </c>
      <c r="F165" s="342">
        <f t="shared" ref="F165:O165" si="124">_xlfn.XLOOKUP(F162,Rates_soil_seed_adds_names_R,Rates_soil_seed_adds_rates_R)</f>
        <v>47</v>
      </c>
      <c r="G165" s="342">
        <f t="shared" si="124"/>
        <v>47</v>
      </c>
      <c r="H165" s="342">
        <f t="shared" si="124"/>
        <v>45.020352399999993</v>
      </c>
      <c r="I165" s="342">
        <f t="shared" si="124"/>
        <v>45.020352399999993</v>
      </c>
      <c r="J165" s="342">
        <f t="shared" si="124"/>
        <v>1125.5088099999998</v>
      </c>
      <c r="K165" s="342">
        <f t="shared" si="124"/>
        <v>500</v>
      </c>
      <c r="L165" s="342">
        <f t="shared" si="124"/>
        <v>3</v>
      </c>
      <c r="M165" s="342">
        <f t="shared" si="124"/>
        <v>47</v>
      </c>
      <c r="N165" s="342">
        <f t="shared" si="124"/>
        <v>47</v>
      </c>
      <c r="O165" s="342">
        <f t="shared" si="124"/>
        <v>47</v>
      </c>
      <c r="P165" s="504"/>
      <c r="Q165" s="427"/>
    </row>
    <row r="166" spans="2:17">
      <c r="B166" s="386"/>
      <c r="C166" s="371"/>
      <c r="D166" s="337" t="s">
        <v>229</v>
      </c>
      <c r="E166" s="28" t="s">
        <v>228</v>
      </c>
      <c r="F166" s="414"/>
      <c r="G166" s="414"/>
      <c r="H166" s="414"/>
      <c r="I166" s="414"/>
      <c r="J166" s="414"/>
      <c r="K166" s="414"/>
      <c r="L166" s="414"/>
      <c r="M166" s="414"/>
      <c r="N166" s="414"/>
      <c r="O166" s="414"/>
      <c r="P166" s="504"/>
      <c r="Q166" s="420"/>
    </row>
    <row r="167" spans="2:17">
      <c r="B167" s="572" t="s">
        <v>324</v>
      </c>
      <c r="C167" s="371"/>
      <c r="D167" s="420" t="s">
        <v>325</v>
      </c>
      <c r="E167" s="28" t="s">
        <v>207</v>
      </c>
      <c r="F167" s="380">
        <f>IF(F166="",F165,F166)*F164</f>
        <v>20131.944579624997</v>
      </c>
      <c r="G167" s="380">
        <f t="shared" ref="G167:H167" si="125">IF(G166="",G165,G166)*G164</f>
        <v>0</v>
      </c>
      <c r="H167" s="380">
        <f t="shared" si="125"/>
        <v>0</v>
      </c>
      <c r="I167" s="380">
        <f t="shared" ref="I167:O167" si="126">IF(I166="",I165,I166)*I164</f>
        <v>0</v>
      </c>
      <c r="J167" s="380">
        <f t="shared" si="126"/>
        <v>0</v>
      </c>
      <c r="K167" s="380">
        <f t="shared" si="126"/>
        <v>0</v>
      </c>
      <c r="L167" s="380">
        <f t="shared" si="126"/>
        <v>0</v>
      </c>
      <c r="M167" s="380">
        <f t="shared" si="126"/>
        <v>0</v>
      </c>
      <c r="N167" s="380">
        <f t="shared" si="126"/>
        <v>0</v>
      </c>
      <c r="O167" s="380">
        <f t="shared" si="126"/>
        <v>0</v>
      </c>
      <c r="P167" s="504"/>
      <c r="Q167" s="420"/>
    </row>
    <row r="168" spans="2:17">
      <c r="B168" s="382" t="s">
        <v>326</v>
      </c>
      <c r="C168" s="371"/>
      <c r="D168" s="420" t="s">
        <v>327</v>
      </c>
      <c r="E168" s="28" t="s">
        <v>411</v>
      </c>
      <c r="F168" s="412" t="s">
        <v>233</v>
      </c>
      <c r="G168" s="412" t="s">
        <v>233</v>
      </c>
      <c r="H168" s="412" t="s">
        <v>233</v>
      </c>
      <c r="I168" s="412" t="s">
        <v>233</v>
      </c>
      <c r="J168" s="412" t="s">
        <v>233</v>
      </c>
      <c r="K168" s="412" t="s">
        <v>233</v>
      </c>
      <c r="L168" s="412" t="s">
        <v>233</v>
      </c>
      <c r="M168" s="412" t="s">
        <v>233</v>
      </c>
      <c r="N168" s="412" t="s">
        <v>233</v>
      </c>
      <c r="O168" s="412" t="s">
        <v>233</v>
      </c>
      <c r="P168" s="504"/>
      <c r="Q168" s="420"/>
    </row>
    <row r="169" spans="2:17">
      <c r="B169" s="383"/>
      <c r="C169" s="371"/>
      <c r="D169" s="420" t="s">
        <v>227</v>
      </c>
      <c r="E169" s="28" t="s">
        <v>234</v>
      </c>
      <c r="F169" s="342">
        <f t="shared" ref="F169:O169" si="127">_xlfn.XLOOKUP(F168,Long_haul_soil_amend_names_mass_CS,Long_haul_soil_amend_rates_mass_CS)</f>
        <v>0.11650973647112783</v>
      </c>
      <c r="G169" s="342">
        <f t="shared" si="127"/>
        <v>0.11650973647112783</v>
      </c>
      <c r="H169" s="342">
        <f t="shared" si="127"/>
        <v>0.11650973647112783</v>
      </c>
      <c r="I169" s="342">
        <f t="shared" si="127"/>
        <v>0.11650973647112783</v>
      </c>
      <c r="J169" s="342">
        <f t="shared" si="127"/>
        <v>0.11650973647112783</v>
      </c>
      <c r="K169" s="342">
        <f t="shared" si="127"/>
        <v>0.11650973647112783</v>
      </c>
      <c r="L169" s="342">
        <f t="shared" si="127"/>
        <v>0.11650973647112783</v>
      </c>
      <c r="M169" s="342">
        <f t="shared" si="127"/>
        <v>0.11650973647112783</v>
      </c>
      <c r="N169" s="342">
        <f t="shared" si="127"/>
        <v>0.11650973647112783</v>
      </c>
      <c r="O169" s="342">
        <f t="shared" si="127"/>
        <v>0.11650973647112783</v>
      </c>
      <c r="P169" s="504"/>
      <c r="Q169" s="427"/>
    </row>
    <row r="170" spans="2:17">
      <c r="B170" s="383"/>
      <c r="C170" s="371"/>
      <c r="D170" s="337" t="s">
        <v>229</v>
      </c>
      <c r="E170" s="28" t="s">
        <v>234</v>
      </c>
      <c r="F170" s="414"/>
      <c r="G170" s="414"/>
      <c r="H170" s="414"/>
      <c r="I170" s="414"/>
      <c r="J170" s="414"/>
      <c r="K170" s="414"/>
      <c r="L170" s="414"/>
      <c r="M170" s="414"/>
      <c r="N170" s="414"/>
      <c r="O170" s="414"/>
      <c r="P170" s="504"/>
      <c r="Q170" s="420"/>
    </row>
    <row r="171" spans="2:17">
      <c r="B171" s="386"/>
      <c r="C171" s="371"/>
      <c r="D171" s="420" t="s">
        <v>146</v>
      </c>
      <c r="E171" s="28" t="s">
        <v>207</v>
      </c>
      <c r="F171" s="381">
        <f t="shared" ref="F171:O171" si="128">F164*_xlfn.XLOOKUP(F168,Long_haul_distance_names_L,Long_haul_distances_average_L)*IF(F170="",F169,F170)</f>
        <v>1372.4065496733003</v>
      </c>
      <c r="G171" s="381">
        <f t="shared" si="128"/>
        <v>0</v>
      </c>
      <c r="H171" s="381">
        <f t="shared" si="128"/>
        <v>0</v>
      </c>
      <c r="I171" s="381">
        <f t="shared" si="128"/>
        <v>0</v>
      </c>
      <c r="J171" s="381">
        <f t="shared" si="128"/>
        <v>0</v>
      </c>
      <c r="K171" s="381">
        <f t="shared" si="128"/>
        <v>0</v>
      </c>
      <c r="L171" s="381">
        <f t="shared" si="128"/>
        <v>0</v>
      </c>
      <c r="M171" s="381">
        <f t="shared" si="128"/>
        <v>0</v>
      </c>
      <c r="N171" s="381">
        <f t="shared" si="128"/>
        <v>0</v>
      </c>
      <c r="O171" s="381">
        <f t="shared" si="128"/>
        <v>0</v>
      </c>
      <c r="P171" s="504"/>
      <c r="Q171" s="420"/>
    </row>
    <row r="172" spans="2:17">
      <c r="B172" s="382" t="s">
        <v>328</v>
      </c>
      <c r="C172" s="371"/>
      <c r="D172" s="420" t="s">
        <v>227</v>
      </c>
      <c r="E172" s="28" t="s">
        <v>329</v>
      </c>
      <c r="F172" s="342">
        <f>'Cost Schedule'!$D$9</f>
        <v>2323.4444444444448</v>
      </c>
      <c r="G172" s="342">
        <f>'Cost Schedule'!$D$9</f>
        <v>2323.4444444444448</v>
      </c>
      <c r="H172" s="342">
        <f>'Cost Schedule'!$D$9</f>
        <v>2323.4444444444448</v>
      </c>
      <c r="I172" s="342">
        <f>'Cost Schedule'!$D$9</f>
        <v>2323.4444444444448</v>
      </c>
      <c r="J172" s="342">
        <f>'Cost Schedule'!$D$9</f>
        <v>2323.4444444444448</v>
      </c>
      <c r="K172" s="342">
        <f>'Cost Schedule'!$D$9</f>
        <v>2323.4444444444448</v>
      </c>
      <c r="L172" s="342">
        <f>'Cost Schedule'!$D$9</f>
        <v>2323.4444444444448</v>
      </c>
      <c r="M172" s="342">
        <f>'Cost Schedule'!$D$9</f>
        <v>2323.4444444444448</v>
      </c>
      <c r="N172" s="342">
        <f>'Cost Schedule'!$D$9</f>
        <v>2323.4444444444448</v>
      </c>
      <c r="O172" s="342">
        <f>'Cost Schedule'!$D$9</f>
        <v>2323.4444444444448</v>
      </c>
      <c r="P172" s="504"/>
      <c r="Q172" s="427"/>
    </row>
    <row r="173" spans="2:17">
      <c r="B173" s="383"/>
      <c r="C173" s="371"/>
      <c r="D173" s="337" t="s">
        <v>229</v>
      </c>
      <c r="E173" s="28" t="s">
        <v>329</v>
      </c>
      <c r="F173" s="414"/>
      <c r="G173" s="414"/>
      <c r="H173" s="414"/>
      <c r="I173" s="414"/>
      <c r="J173" s="414"/>
      <c r="K173" s="414"/>
      <c r="L173" s="414"/>
      <c r="M173" s="414"/>
      <c r="N173" s="414"/>
      <c r="O173" s="414"/>
      <c r="P173" s="504"/>
      <c r="Q173" s="420"/>
    </row>
    <row r="174" spans="2:17">
      <c r="B174" s="386"/>
      <c r="C174" s="377"/>
      <c r="D174" s="420" t="s">
        <v>146</v>
      </c>
      <c r="E174" s="28" t="s">
        <v>207</v>
      </c>
      <c r="F174" s="380">
        <f>F161*IF(F173="",F172,F173)</f>
        <v>398088.9769310056</v>
      </c>
      <c r="G174" s="380">
        <f t="shared" ref="G174:H174" si="129">G161*IF(G173="",G172,G173)</f>
        <v>0</v>
      </c>
      <c r="H174" s="380">
        <f t="shared" si="129"/>
        <v>0</v>
      </c>
      <c r="I174" s="380">
        <f t="shared" ref="I174:O174" si="130">I161*IF(I173="",I172,I173)</f>
        <v>0</v>
      </c>
      <c r="J174" s="380">
        <f t="shared" si="130"/>
        <v>0</v>
      </c>
      <c r="K174" s="380">
        <f t="shared" si="130"/>
        <v>0</v>
      </c>
      <c r="L174" s="380">
        <f t="shared" si="130"/>
        <v>0</v>
      </c>
      <c r="M174" s="380">
        <f t="shared" si="130"/>
        <v>0</v>
      </c>
      <c r="N174" s="380">
        <f t="shared" si="130"/>
        <v>0</v>
      </c>
      <c r="O174" s="380">
        <f t="shared" si="130"/>
        <v>0</v>
      </c>
      <c r="P174" s="504"/>
      <c r="Q174" s="420"/>
    </row>
    <row r="175" spans="2:17" ht="12" thickBot="1">
      <c r="B175" s="573"/>
      <c r="C175" s="574"/>
      <c r="D175" s="552" t="str">
        <f>B148</f>
        <v>Source and apply ameliorants</v>
      </c>
      <c r="E175" s="72"/>
      <c r="F175" s="365">
        <f>F167+F171+F174</f>
        <v>419593.32806030387</v>
      </c>
      <c r="G175" s="365">
        <f t="shared" ref="G175:H175" si="131">G167+G171+G174</f>
        <v>0</v>
      </c>
      <c r="H175" s="365">
        <f t="shared" si="131"/>
        <v>0</v>
      </c>
      <c r="I175" s="365">
        <f t="shared" ref="I175:O175" si="132">I167+I171+I174</f>
        <v>0</v>
      </c>
      <c r="J175" s="365">
        <f t="shared" si="132"/>
        <v>0</v>
      </c>
      <c r="K175" s="365">
        <f t="shared" si="132"/>
        <v>0</v>
      </c>
      <c r="L175" s="365">
        <f t="shared" si="132"/>
        <v>0</v>
      </c>
      <c r="M175" s="365">
        <f t="shared" si="132"/>
        <v>0</v>
      </c>
      <c r="N175" s="365">
        <f t="shared" si="132"/>
        <v>0</v>
      </c>
      <c r="O175" s="365">
        <f t="shared" si="132"/>
        <v>0</v>
      </c>
      <c r="P175" s="504"/>
      <c r="Q175" s="420"/>
    </row>
    <row r="176" spans="2:17" ht="12" thickTop="1">
      <c r="B176" s="575" t="s">
        <v>1094</v>
      </c>
      <c r="C176" s="376" t="s">
        <v>1038</v>
      </c>
      <c r="D176" s="420" t="s">
        <v>623</v>
      </c>
      <c r="E176" s="28" t="s">
        <v>299</v>
      </c>
      <c r="F176" s="385">
        <f t="shared" ref="F176:O176" si="133">F$16/Conv_sqm_ha</f>
        <v>5.6985500000000001E-3</v>
      </c>
      <c r="G176" s="385">
        <f t="shared" si="133"/>
        <v>0</v>
      </c>
      <c r="H176" s="385">
        <f t="shared" si="133"/>
        <v>0</v>
      </c>
      <c r="I176" s="385">
        <f t="shared" si="133"/>
        <v>0</v>
      </c>
      <c r="J176" s="385">
        <f t="shared" si="133"/>
        <v>0</v>
      </c>
      <c r="K176" s="385">
        <f t="shared" si="133"/>
        <v>0</v>
      </c>
      <c r="L176" s="385">
        <f t="shared" si="133"/>
        <v>0</v>
      </c>
      <c r="M176" s="385">
        <f t="shared" si="133"/>
        <v>0</v>
      </c>
      <c r="N176" s="385">
        <f t="shared" si="133"/>
        <v>0</v>
      </c>
      <c r="O176" s="385">
        <f t="shared" si="133"/>
        <v>0</v>
      </c>
      <c r="P176" s="504"/>
      <c r="Q176" s="420"/>
    </row>
    <row r="177" spans="2:17">
      <c r="B177" s="383"/>
      <c r="C177" s="371"/>
      <c r="D177" s="420" t="s">
        <v>624</v>
      </c>
      <c r="E177" s="28" t="s">
        <v>299</v>
      </c>
      <c r="F177" s="605"/>
      <c r="G177" s="605"/>
      <c r="H177" s="605"/>
      <c r="I177" s="605"/>
      <c r="J177" s="605"/>
      <c r="K177" s="605"/>
      <c r="L177" s="605"/>
      <c r="M177" s="605"/>
      <c r="N177" s="605"/>
      <c r="O177" s="605"/>
      <c r="P177" s="504"/>
      <c r="Q177" s="420"/>
    </row>
    <row r="178" spans="2:17">
      <c r="B178" s="383"/>
      <c r="C178" s="377"/>
      <c r="D178" s="420" t="s">
        <v>625</v>
      </c>
      <c r="E178" s="28" t="s">
        <v>299</v>
      </c>
      <c r="F178" s="385">
        <f>IF(F177="",F176,F177)</f>
        <v>5.6985500000000001E-3</v>
      </c>
      <c r="G178" s="385">
        <f t="shared" ref="G178:H178" si="134">IF(G177="",G176,G177)</f>
        <v>0</v>
      </c>
      <c r="H178" s="385">
        <f t="shared" si="134"/>
        <v>0</v>
      </c>
      <c r="I178" s="385">
        <f t="shared" ref="I178:O178" si="135">IF(I177="",I176,I177)</f>
        <v>0</v>
      </c>
      <c r="J178" s="385">
        <f t="shared" si="135"/>
        <v>0</v>
      </c>
      <c r="K178" s="385">
        <f t="shared" si="135"/>
        <v>0</v>
      </c>
      <c r="L178" s="385">
        <f t="shared" si="135"/>
        <v>0</v>
      </c>
      <c r="M178" s="385">
        <f t="shared" si="135"/>
        <v>0</v>
      </c>
      <c r="N178" s="385">
        <f t="shared" si="135"/>
        <v>0</v>
      </c>
      <c r="O178" s="385">
        <f t="shared" si="135"/>
        <v>0</v>
      </c>
      <c r="P178" s="504"/>
      <c r="Q178" s="420"/>
    </row>
    <row r="179" spans="2:17">
      <c r="B179" s="383"/>
      <c r="C179" s="376" t="s">
        <v>1090</v>
      </c>
      <c r="D179" s="420" t="s">
        <v>623</v>
      </c>
      <c r="E179" s="28" t="s">
        <v>299</v>
      </c>
      <c r="F179" s="385">
        <f>F$45</f>
        <v>0</v>
      </c>
      <c r="G179" s="385">
        <f>G$45</f>
        <v>0</v>
      </c>
      <c r="H179" s="385">
        <f t="shared" ref="H179:O179" si="136">H$45</f>
        <v>0</v>
      </c>
      <c r="I179" s="385">
        <f t="shared" si="136"/>
        <v>0</v>
      </c>
      <c r="J179" s="385">
        <f t="shared" si="136"/>
        <v>0</v>
      </c>
      <c r="K179" s="385">
        <f t="shared" si="136"/>
        <v>0</v>
      </c>
      <c r="L179" s="385">
        <f t="shared" si="136"/>
        <v>0</v>
      </c>
      <c r="M179" s="385">
        <f t="shared" si="136"/>
        <v>0</v>
      </c>
      <c r="N179" s="385">
        <f t="shared" si="136"/>
        <v>0</v>
      </c>
      <c r="O179" s="385">
        <f t="shared" si="136"/>
        <v>0</v>
      </c>
      <c r="P179" s="504"/>
      <c r="Q179" s="420"/>
    </row>
    <row r="180" spans="2:17">
      <c r="B180" s="383"/>
      <c r="C180" s="371"/>
      <c r="D180" s="420" t="s">
        <v>624</v>
      </c>
      <c r="E180" s="28" t="s">
        <v>299</v>
      </c>
      <c r="F180" s="605"/>
      <c r="G180" s="605"/>
      <c r="H180" s="605"/>
      <c r="I180" s="605"/>
      <c r="J180" s="605"/>
      <c r="K180" s="605"/>
      <c r="L180" s="605"/>
      <c r="M180" s="605"/>
      <c r="N180" s="605"/>
      <c r="O180" s="605"/>
      <c r="P180" s="504"/>
      <c r="Q180" s="420"/>
    </row>
    <row r="181" spans="2:17">
      <c r="B181" s="383"/>
      <c r="C181" s="377"/>
      <c r="D181" s="420" t="s">
        <v>625</v>
      </c>
      <c r="E181" s="28" t="s">
        <v>299</v>
      </c>
      <c r="F181" s="385">
        <f>IF(F180="",F179,F180)</f>
        <v>0</v>
      </c>
      <c r="G181" s="385">
        <f t="shared" ref="G181:H181" si="137">IF(G180="",G179,G180)</f>
        <v>0</v>
      </c>
      <c r="H181" s="385">
        <f t="shared" si="137"/>
        <v>0</v>
      </c>
      <c r="I181" s="385">
        <f t="shared" ref="I181:O181" si="138">IF(I180="",I179,I180)</f>
        <v>0</v>
      </c>
      <c r="J181" s="385">
        <f t="shared" si="138"/>
        <v>0</v>
      </c>
      <c r="K181" s="385">
        <f t="shared" si="138"/>
        <v>0</v>
      </c>
      <c r="L181" s="385">
        <f t="shared" si="138"/>
        <v>0</v>
      </c>
      <c r="M181" s="385">
        <f t="shared" si="138"/>
        <v>0</v>
      </c>
      <c r="N181" s="385">
        <f t="shared" si="138"/>
        <v>0</v>
      </c>
      <c r="O181" s="385">
        <f t="shared" si="138"/>
        <v>0</v>
      </c>
      <c r="P181" s="504"/>
      <c r="Q181" s="420"/>
    </row>
    <row r="182" spans="2:17">
      <c r="B182" s="383"/>
      <c r="C182" s="376" t="s">
        <v>1060</v>
      </c>
      <c r="D182" s="420" t="s">
        <v>623</v>
      </c>
      <c r="E182" s="28" t="s">
        <v>299</v>
      </c>
      <c r="F182" s="385">
        <f>F$56</f>
        <v>0</v>
      </c>
      <c r="G182" s="385">
        <f>G$56</f>
        <v>0</v>
      </c>
      <c r="H182" s="385">
        <f t="shared" ref="H182:O182" si="139">H$56</f>
        <v>0</v>
      </c>
      <c r="I182" s="385">
        <f t="shared" si="139"/>
        <v>0</v>
      </c>
      <c r="J182" s="385">
        <f t="shared" si="139"/>
        <v>0</v>
      </c>
      <c r="K182" s="385">
        <f t="shared" si="139"/>
        <v>0</v>
      </c>
      <c r="L182" s="385">
        <f t="shared" si="139"/>
        <v>0</v>
      </c>
      <c r="M182" s="385">
        <f t="shared" si="139"/>
        <v>0</v>
      </c>
      <c r="N182" s="385">
        <f t="shared" si="139"/>
        <v>0</v>
      </c>
      <c r="O182" s="385">
        <f t="shared" si="139"/>
        <v>0</v>
      </c>
      <c r="P182" s="504"/>
      <c r="Q182" s="420"/>
    </row>
    <row r="183" spans="2:17">
      <c r="B183" s="383"/>
      <c r="C183" s="371"/>
      <c r="D183" s="420" t="s">
        <v>624</v>
      </c>
      <c r="E183" s="28" t="s">
        <v>299</v>
      </c>
      <c r="F183" s="605"/>
      <c r="G183" s="605"/>
      <c r="H183" s="605"/>
      <c r="I183" s="605"/>
      <c r="J183" s="605"/>
      <c r="K183" s="605"/>
      <c r="L183" s="605"/>
      <c r="M183" s="605"/>
      <c r="N183" s="605"/>
      <c r="O183" s="605"/>
      <c r="P183" s="504"/>
      <c r="Q183" s="420"/>
    </row>
    <row r="184" spans="2:17">
      <c r="B184" s="383"/>
      <c r="C184" s="377"/>
      <c r="D184" s="420" t="s">
        <v>625</v>
      </c>
      <c r="E184" s="28" t="s">
        <v>299</v>
      </c>
      <c r="F184" s="385">
        <f>IF(F183="",F182,F183)</f>
        <v>0</v>
      </c>
      <c r="G184" s="385">
        <f t="shared" ref="G184:H184" si="140">IF(G183="",G182,G183)</f>
        <v>0</v>
      </c>
      <c r="H184" s="385">
        <f t="shared" si="140"/>
        <v>0</v>
      </c>
      <c r="I184" s="385">
        <f t="shared" ref="I184:O184" si="141">IF(I183="",I182,I183)</f>
        <v>0</v>
      </c>
      <c r="J184" s="385">
        <f t="shared" si="141"/>
        <v>0</v>
      </c>
      <c r="K184" s="385">
        <f t="shared" si="141"/>
        <v>0</v>
      </c>
      <c r="L184" s="385">
        <f t="shared" si="141"/>
        <v>0</v>
      </c>
      <c r="M184" s="385">
        <f t="shared" si="141"/>
        <v>0</v>
      </c>
      <c r="N184" s="385">
        <f t="shared" si="141"/>
        <v>0</v>
      </c>
      <c r="O184" s="385">
        <f t="shared" si="141"/>
        <v>0</v>
      </c>
      <c r="P184" s="504"/>
      <c r="Q184" s="420"/>
    </row>
    <row r="185" spans="2:17">
      <c r="B185" s="383"/>
      <c r="C185" s="376" t="s">
        <v>1091</v>
      </c>
      <c r="D185" s="420" t="s">
        <v>623</v>
      </c>
      <c r="E185" s="28" t="s">
        <v>299</v>
      </c>
      <c r="F185" s="385">
        <f>F$11+F$96</f>
        <v>171.32999999999998</v>
      </c>
      <c r="G185" s="385">
        <f>G$11+G$96</f>
        <v>0</v>
      </c>
      <c r="H185" s="385">
        <f t="shared" ref="H185:O185" si="142">H$11+H$96</f>
        <v>0</v>
      </c>
      <c r="I185" s="385">
        <f t="shared" si="142"/>
        <v>0</v>
      </c>
      <c r="J185" s="385">
        <f t="shared" si="142"/>
        <v>0</v>
      </c>
      <c r="K185" s="385">
        <f t="shared" si="142"/>
        <v>0</v>
      </c>
      <c r="L185" s="385">
        <f t="shared" si="142"/>
        <v>0</v>
      </c>
      <c r="M185" s="385">
        <f t="shared" si="142"/>
        <v>0</v>
      </c>
      <c r="N185" s="385">
        <f t="shared" si="142"/>
        <v>0</v>
      </c>
      <c r="O185" s="385">
        <f t="shared" si="142"/>
        <v>0</v>
      </c>
      <c r="P185" s="504"/>
      <c r="Q185" s="420"/>
    </row>
    <row r="186" spans="2:17">
      <c r="B186" s="383"/>
      <c r="C186" s="371"/>
      <c r="D186" s="420" t="s">
        <v>624</v>
      </c>
      <c r="E186" s="28" t="s">
        <v>299</v>
      </c>
      <c r="F186" s="605"/>
      <c r="G186" s="605"/>
      <c r="H186" s="605"/>
      <c r="I186" s="605"/>
      <c r="J186" s="605"/>
      <c r="K186" s="605"/>
      <c r="L186" s="605"/>
      <c r="M186" s="605"/>
      <c r="N186" s="605"/>
      <c r="O186" s="605"/>
      <c r="P186" s="504"/>
      <c r="Q186" s="420"/>
    </row>
    <row r="187" spans="2:17">
      <c r="B187" s="383"/>
      <c r="C187" s="377"/>
      <c r="D187" s="420" t="s">
        <v>625</v>
      </c>
      <c r="E187" s="28" t="s">
        <v>299</v>
      </c>
      <c r="F187" s="385">
        <f>IF(F186="",F185,F186)</f>
        <v>171.32999999999998</v>
      </c>
      <c r="G187" s="385">
        <f t="shared" ref="G187:H187" si="143">IF(G186="",G185,G186)</f>
        <v>0</v>
      </c>
      <c r="H187" s="385">
        <f t="shared" si="143"/>
        <v>0</v>
      </c>
      <c r="I187" s="385">
        <f t="shared" ref="I187:O187" si="144">IF(I186="",I185,I186)</f>
        <v>0</v>
      </c>
      <c r="J187" s="385">
        <f t="shared" si="144"/>
        <v>0</v>
      </c>
      <c r="K187" s="385">
        <f t="shared" si="144"/>
        <v>0</v>
      </c>
      <c r="L187" s="385">
        <f t="shared" si="144"/>
        <v>0</v>
      </c>
      <c r="M187" s="385">
        <f t="shared" si="144"/>
        <v>0</v>
      </c>
      <c r="N187" s="385">
        <f t="shared" si="144"/>
        <v>0</v>
      </c>
      <c r="O187" s="385">
        <f t="shared" si="144"/>
        <v>0</v>
      </c>
      <c r="P187" s="504"/>
      <c r="Q187" s="420"/>
    </row>
    <row r="188" spans="2:17">
      <c r="B188" s="383"/>
      <c r="C188" s="346" t="s">
        <v>1092</v>
      </c>
      <c r="D188" s="420" t="s">
        <v>624</v>
      </c>
      <c r="E188" s="28" t="s">
        <v>299</v>
      </c>
      <c r="F188" s="605"/>
      <c r="G188" s="605"/>
      <c r="H188" s="605"/>
      <c r="I188" s="605"/>
      <c r="J188" s="605"/>
      <c r="K188" s="605"/>
      <c r="L188" s="605"/>
      <c r="M188" s="605"/>
      <c r="N188" s="605"/>
      <c r="O188" s="605"/>
      <c r="P188" s="504"/>
      <c r="Q188" s="420"/>
    </row>
    <row r="189" spans="2:17">
      <c r="B189" s="386"/>
      <c r="C189" s="346" t="s">
        <v>1093</v>
      </c>
      <c r="D189" s="420" t="s">
        <v>303</v>
      </c>
      <c r="E189" s="28" t="s">
        <v>299</v>
      </c>
      <c r="F189" s="385">
        <f>SUM(F178,F181,F184,F187,F188)</f>
        <v>171.33569854999999</v>
      </c>
      <c r="G189" s="385">
        <f t="shared" ref="G189:H189" si="145">SUM(G178,G181,G184,G187,G188)</f>
        <v>0</v>
      </c>
      <c r="H189" s="385">
        <f t="shared" si="145"/>
        <v>0</v>
      </c>
      <c r="I189" s="385">
        <f t="shared" ref="I189:O189" si="146">SUM(I178,I181,I184,I187,I188)</f>
        <v>0</v>
      </c>
      <c r="J189" s="385">
        <f t="shared" si="146"/>
        <v>0</v>
      </c>
      <c r="K189" s="385">
        <f t="shared" si="146"/>
        <v>0</v>
      </c>
      <c r="L189" s="385">
        <f t="shared" si="146"/>
        <v>0</v>
      </c>
      <c r="M189" s="385">
        <f t="shared" si="146"/>
        <v>0</v>
      </c>
      <c r="N189" s="385">
        <f t="shared" si="146"/>
        <v>0</v>
      </c>
      <c r="O189" s="385">
        <f t="shared" si="146"/>
        <v>0</v>
      </c>
      <c r="P189" s="504"/>
      <c r="Q189" s="420"/>
    </row>
    <row r="190" spans="2:17" ht="33.75">
      <c r="B190" s="382" t="s">
        <v>344</v>
      </c>
      <c r="C190" s="376" t="s">
        <v>345</v>
      </c>
      <c r="D190" s="420" t="s">
        <v>333</v>
      </c>
      <c r="E190" s="28" t="s">
        <v>123</v>
      </c>
      <c r="F190" s="412" t="s">
        <v>346</v>
      </c>
      <c r="G190" s="412" t="s">
        <v>346</v>
      </c>
      <c r="H190" s="412" t="s">
        <v>347</v>
      </c>
      <c r="I190" s="412" t="s">
        <v>347</v>
      </c>
      <c r="J190" s="412" t="s">
        <v>348</v>
      </c>
      <c r="K190" s="412" t="s">
        <v>349</v>
      </c>
      <c r="L190" s="412" t="s">
        <v>661</v>
      </c>
      <c r="M190" s="412" t="s">
        <v>662</v>
      </c>
      <c r="N190" s="412" t="s">
        <v>350</v>
      </c>
      <c r="O190" s="412" t="s">
        <v>351</v>
      </c>
      <c r="P190" s="504"/>
      <c r="Q190" s="420"/>
    </row>
    <row r="191" spans="2:17">
      <c r="B191" s="383"/>
      <c r="C191" s="371"/>
      <c r="D191" s="420" t="s">
        <v>227</v>
      </c>
      <c r="E191" s="28" t="s">
        <v>352</v>
      </c>
      <c r="F191" s="342">
        <f>_xlfn.XLOOKUP(F190,Rates_soil_seed_adds_names_R,Rates_soil_seed_adds_rates_R)</f>
        <v>150</v>
      </c>
      <c r="G191" s="342">
        <f t="shared" ref="G191:O191" si="147">_xlfn.XLOOKUP(G190,Rates_soil_seed_adds_names_R,Rates_soil_seed_adds_rates_R)</f>
        <v>150</v>
      </c>
      <c r="H191" s="342">
        <f t="shared" si="147"/>
        <v>350</v>
      </c>
      <c r="I191" s="342">
        <f t="shared" si="147"/>
        <v>350</v>
      </c>
      <c r="J191" s="342">
        <f t="shared" si="147"/>
        <v>5</v>
      </c>
      <c r="K191" s="342">
        <f t="shared" si="147"/>
        <v>15</v>
      </c>
      <c r="L191" s="342">
        <f t="shared" si="147"/>
        <v>17.647058823529413</v>
      </c>
      <c r="M191" s="342">
        <f t="shared" si="147"/>
        <v>920</v>
      </c>
      <c r="N191" s="342">
        <f t="shared" si="147"/>
        <v>17.647058823529413</v>
      </c>
      <c r="O191" s="342">
        <f t="shared" si="147"/>
        <v>920</v>
      </c>
      <c r="P191" s="504"/>
      <c r="Q191" s="427"/>
    </row>
    <row r="192" spans="2:17">
      <c r="B192" s="383"/>
      <c r="C192" s="371"/>
      <c r="D192" s="420" t="s">
        <v>353</v>
      </c>
      <c r="F192" s="70" t="str">
        <f t="shared" ref="F192:O192" si="148">IF(F190=Arid,"",_xlfn.XLOOKUP(F190,Rates_soil_seed_adds_names_R,Rates_soil_seed_add_units_R))</f>
        <v>kg</v>
      </c>
      <c r="G192" s="70" t="str">
        <f t="shared" si="148"/>
        <v>kg</v>
      </c>
      <c r="H192" s="70" t="str">
        <f t="shared" si="148"/>
        <v>kg</v>
      </c>
      <c r="I192" s="70" t="str">
        <f t="shared" si="148"/>
        <v>kg</v>
      </c>
      <c r="J192" s="70" t="str">
        <f t="shared" si="148"/>
        <v>item</v>
      </c>
      <c r="K192" s="70" t="str">
        <f t="shared" si="148"/>
        <v>item</v>
      </c>
      <c r="L192" s="70" t="str">
        <f t="shared" si="148"/>
        <v>kg</v>
      </c>
      <c r="M192" s="70" t="str">
        <f t="shared" si="148"/>
        <v>kg</v>
      </c>
      <c r="N192" s="70" t="str">
        <f t="shared" si="148"/>
        <v>kg</v>
      </c>
      <c r="O192" s="70" t="str">
        <f t="shared" si="148"/>
        <v>kg</v>
      </c>
      <c r="P192" s="504"/>
      <c r="Q192" s="427"/>
    </row>
    <row r="193" spans="2:17">
      <c r="B193" s="383"/>
      <c r="C193" s="371"/>
      <c r="D193" s="427" t="s">
        <v>229</v>
      </c>
      <c r="E193" s="28" t="s">
        <v>352</v>
      </c>
      <c r="F193" s="414"/>
      <c r="G193" s="414"/>
      <c r="H193" s="414"/>
      <c r="I193" s="414"/>
      <c r="J193" s="414"/>
      <c r="K193" s="414"/>
      <c r="L193" s="414"/>
      <c r="M193" s="414"/>
      <c r="N193" s="414"/>
      <c r="O193" s="414"/>
      <c r="P193" s="504"/>
      <c r="Q193" s="420"/>
    </row>
    <row r="194" spans="2:17">
      <c r="B194" s="383"/>
      <c r="C194" s="371"/>
      <c r="D194" s="427" t="s">
        <v>320</v>
      </c>
      <c r="E194" s="28" t="s">
        <v>354</v>
      </c>
      <c r="F194" s="385">
        <f t="shared" ref="F194:O194" si="149">_xlfn.XLOOKUP(F190,Plant_and_seed_appln_rate_names_Assumptions,Plant_and_seed_appln_rates_rates_Assumptions)</f>
        <v>5</v>
      </c>
      <c r="G194" s="385">
        <f t="shared" si="149"/>
        <v>5</v>
      </c>
      <c r="H194" s="385">
        <f t="shared" si="149"/>
        <v>7</v>
      </c>
      <c r="I194" s="385">
        <f t="shared" si="149"/>
        <v>7</v>
      </c>
      <c r="J194" s="385">
        <f t="shared" si="149"/>
        <v>150</v>
      </c>
      <c r="K194" s="385">
        <f t="shared" si="149"/>
        <v>75</v>
      </c>
      <c r="L194" s="385">
        <f t="shared" si="149"/>
        <v>42.5</v>
      </c>
      <c r="M194" s="385">
        <f t="shared" si="149"/>
        <v>12.5</v>
      </c>
      <c r="N194" s="385">
        <f t="shared" si="149"/>
        <v>42.5</v>
      </c>
      <c r="O194" s="385">
        <f t="shared" si="149"/>
        <v>12.5</v>
      </c>
      <c r="P194" s="504"/>
      <c r="Q194" s="420"/>
    </row>
    <row r="195" spans="2:17">
      <c r="B195" s="383"/>
      <c r="C195" s="371"/>
      <c r="D195" s="427" t="s">
        <v>355</v>
      </c>
      <c r="F195" s="385">
        <f>F194*F189</f>
        <v>856.67849274999992</v>
      </c>
      <c r="G195" s="385">
        <f t="shared" ref="G195:O195" si="150">G194*G189</f>
        <v>0</v>
      </c>
      <c r="H195" s="385">
        <f t="shared" si="150"/>
        <v>0</v>
      </c>
      <c r="I195" s="385">
        <f t="shared" si="150"/>
        <v>0</v>
      </c>
      <c r="J195" s="385">
        <f t="shared" si="150"/>
        <v>0</v>
      </c>
      <c r="K195" s="385">
        <f t="shared" si="150"/>
        <v>0</v>
      </c>
      <c r="L195" s="385">
        <f t="shared" si="150"/>
        <v>0</v>
      </c>
      <c r="M195" s="385">
        <f t="shared" si="150"/>
        <v>0</v>
      </c>
      <c r="N195" s="385">
        <f t="shared" si="150"/>
        <v>0</v>
      </c>
      <c r="O195" s="385">
        <f t="shared" si="150"/>
        <v>0</v>
      </c>
      <c r="P195" s="504"/>
      <c r="Q195" s="420"/>
    </row>
    <row r="196" spans="2:17">
      <c r="B196" s="386"/>
      <c r="C196" s="371"/>
      <c r="D196" s="420" t="s">
        <v>146</v>
      </c>
      <c r="E196" s="28" t="s">
        <v>207</v>
      </c>
      <c r="F196" s="387">
        <f>IF(F193="",F191,F193)*F195</f>
        <v>128501.77391249999</v>
      </c>
      <c r="G196" s="387">
        <f t="shared" ref="G196:O196" si="151">IF(G193="",G191,G193)*G195</f>
        <v>0</v>
      </c>
      <c r="H196" s="387">
        <f t="shared" si="151"/>
        <v>0</v>
      </c>
      <c r="I196" s="387">
        <f t="shared" si="151"/>
        <v>0</v>
      </c>
      <c r="J196" s="387">
        <f t="shared" si="151"/>
        <v>0</v>
      </c>
      <c r="K196" s="387">
        <f t="shared" si="151"/>
        <v>0</v>
      </c>
      <c r="L196" s="387">
        <f t="shared" si="151"/>
        <v>0</v>
      </c>
      <c r="M196" s="387">
        <f t="shared" si="151"/>
        <v>0</v>
      </c>
      <c r="N196" s="387">
        <f t="shared" si="151"/>
        <v>0</v>
      </c>
      <c r="O196" s="387">
        <f t="shared" si="151"/>
        <v>0</v>
      </c>
      <c r="P196" s="504"/>
      <c r="Q196" s="420"/>
    </row>
    <row r="197" spans="2:17" ht="56.25">
      <c r="B197" s="382" t="s">
        <v>356</v>
      </c>
      <c r="C197" s="371"/>
      <c r="D197" s="420" t="s">
        <v>357</v>
      </c>
      <c r="E197" s="28" t="s">
        <v>123</v>
      </c>
      <c r="F197" s="412" t="s">
        <v>358</v>
      </c>
      <c r="G197" s="412" t="s">
        <v>359</v>
      </c>
      <c r="H197" s="412" t="s">
        <v>360</v>
      </c>
      <c r="I197" s="412" t="s">
        <v>361</v>
      </c>
      <c r="J197" s="412" t="s">
        <v>362</v>
      </c>
      <c r="K197" s="412" t="s">
        <v>363</v>
      </c>
      <c r="L197" s="412" t="s">
        <v>664</v>
      </c>
      <c r="M197" s="412" t="s">
        <v>665</v>
      </c>
      <c r="N197" s="412" t="s">
        <v>364</v>
      </c>
      <c r="O197" s="412" t="s">
        <v>365</v>
      </c>
      <c r="P197" s="504"/>
      <c r="Q197" s="420"/>
    </row>
    <row r="198" spans="2:17">
      <c r="B198" s="383"/>
      <c r="C198" s="371"/>
      <c r="D198" s="420" t="s">
        <v>227</v>
      </c>
      <c r="E198" s="28" t="s">
        <v>299</v>
      </c>
      <c r="F198" s="342">
        <f t="shared" ref="F198:O198" si="152">IF(F190=Arid,0,_xlfn.XLOOKUP(F197,Plant_and_seed_apply_plant_names_CS,Plant_and_seed_apply_plant_rates_CS))</f>
        <v>539.45026666666672</v>
      </c>
      <c r="G198" s="342">
        <f t="shared" si="152"/>
        <v>265.67200000000003</v>
      </c>
      <c r="H198" s="342">
        <f t="shared" si="152"/>
        <v>539.45026666666672</v>
      </c>
      <c r="I198" s="342">
        <f t="shared" si="152"/>
        <v>265.67200000000003</v>
      </c>
      <c r="J198" s="342">
        <f t="shared" si="152"/>
        <v>218.42099999999999</v>
      </c>
      <c r="K198" s="342">
        <f t="shared" si="152"/>
        <v>634.21050000000002</v>
      </c>
      <c r="L198" s="342">
        <f t="shared" si="152"/>
        <v>3960</v>
      </c>
      <c r="M198" s="342">
        <f t="shared" si="152"/>
        <v>3960</v>
      </c>
      <c r="N198" s="342">
        <f t="shared" si="152"/>
        <v>46000</v>
      </c>
      <c r="O198" s="342">
        <f t="shared" si="152"/>
        <v>46000</v>
      </c>
      <c r="P198" s="504"/>
      <c r="Q198" s="420"/>
    </row>
    <row r="199" spans="2:17">
      <c r="B199" s="383"/>
      <c r="C199" s="371"/>
      <c r="D199" s="427" t="s">
        <v>229</v>
      </c>
      <c r="E199" s="28" t="s">
        <v>329</v>
      </c>
      <c r="F199" s="414"/>
      <c r="G199" s="414"/>
      <c r="H199" s="414"/>
      <c r="I199" s="414"/>
      <c r="J199" s="414"/>
      <c r="K199" s="414"/>
      <c r="L199" s="414"/>
      <c r="M199" s="414"/>
      <c r="N199" s="414"/>
      <c r="O199" s="414"/>
      <c r="P199" s="504"/>
      <c r="Q199" s="420"/>
    </row>
    <row r="200" spans="2:17">
      <c r="B200" s="386"/>
      <c r="C200" s="371"/>
      <c r="D200" s="420" t="s">
        <v>146</v>
      </c>
      <c r="E200" s="28" t="s">
        <v>207</v>
      </c>
      <c r="F200" s="387">
        <f>F$189*IF(F199="",F198,F199)</f>
        <v>92427.088272317123</v>
      </c>
      <c r="G200" s="387">
        <f t="shared" ref="G200:O200" si="153">G$189*IF(G199="",G198,G199)</f>
        <v>0</v>
      </c>
      <c r="H200" s="387">
        <f t="shared" si="153"/>
        <v>0</v>
      </c>
      <c r="I200" s="387">
        <f t="shared" si="153"/>
        <v>0</v>
      </c>
      <c r="J200" s="387">
        <f t="shared" si="153"/>
        <v>0</v>
      </c>
      <c r="K200" s="387">
        <f t="shared" si="153"/>
        <v>0</v>
      </c>
      <c r="L200" s="387">
        <f t="shared" si="153"/>
        <v>0</v>
      </c>
      <c r="M200" s="387">
        <f t="shared" si="153"/>
        <v>0</v>
      </c>
      <c r="N200" s="387">
        <f t="shared" si="153"/>
        <v>0</v>
      </c>
      <c r="O200" s="387">
        <f t="shared" si="153"/>
        <v>0</v>
      </c>
      <c r="P200" s="504"/>
      <c r="Q200" s="420"/>
    </row>
    <row r="201" spans="2:17" ht="56.25">
      <c r="B201" s="382" t="s">
        <v>367</v>
      </c>
      <c r="C201" s="371"/>
      <c r="D201" s="420" t="s">
        <v>357</v>
      </c>
      <c r="E201" s="28" t="s">
        <v>123</v>
      </c>
      <c r="F201" s="412" t="s">
        <v>368</v>
      </c>
      <c r="G201" s="412" t="s">
        <v>369</v>
      </c>
      <c r="H201" s="412" t="s">
        <v>370</v>
      </c>
      <c r="I201" s="412" t="s">
        <v>371</v>
      </c>
      <c r="J201" s="412" t="s">
        <v>372</v>
      </c>
      <c r="K201" s="412" t="s">
        <v>373</v>
      </c>
      <c r="L201" s="412" t="s">
        <v>666</v>
      </c>
      <c r="M201" s="412" t="s">
        <v>667</v>
      </c>
      <c r="N201" s="412" t="s">
        <v>374</v>
      </c>
      <c r="O201" s="412" t="s">
        <v>375</v>
      </c>
      <c r="P201" s="504"/>
      <c r="Q201" s="420"/>
    </row>
    <row r="202" spans="2:17">
      <c r="B202" s="383"/>
      <c r="C202" s="371"/>
      <c r="D202" s="420" t="s">
        <v>227</v>
      </c>
      <c r="E202" s="28" t="s">
        <v>299</v>
      </c>
      <c r="F202" s="342">
        <f t="shared" ref="F202:O202" si="154">IF(F190=Arid,0,_xlfn.XLOOKUP(F201,Plant_and_seed_fertiliser_buy_names_CS,Plant_and_seed_fertiliser_buy_rates_CS))</f>
        <v>337.65264299999996</v>
      </c>
      <c r="G202" s="342">
        <f t="shared" si="154"/>
        <v>337.65264299999996</v>
      </c>
      <c r="H202" s="342">
        <f t="shared" si="154"/>
        <v>50</v>
      </c>
      <c r="I202" s="342">
        <f t="shared" si="154"/>
        <v>50</v>
      </c>
      <c r="J202" s="342">
        <f t="shared" si="154"/>
        <v>50</v>
      </c>
      <c r="K202" s="342">
        <f t="shared" si="154"/>
        <v>50</v>
      </c>
      <c r="L202" s="342">
        <f t="shared" si="154"/>
        <v>365.79036324999993</v>
      </c>
      <c r="M202" s="342">
        <f t="shared" si="154"/>
        <v>162.5</v>
      </c>
      <c r="N202" s="342">
        <f t="shared" si="154"/>
        <v>365.79036324999993</v>
      </c>
      <c r="O202" s="342">
        <f t="shared" si="154"/>
        <v>365.79036324999993</v>
      </c>
      <c r="P202" s="504"/>
      <c r="Q202" s="420"/>
    </row>
    <row r="203" spans="2:17">
      <c r="B203" s="383"/>
      <c r="C203" s="371"/>
      <c r="D203" s="427" t="s">
        <v>229</v>
      </c>
      <c r="E203" s="28" t="s">
        <v>329</v>
      </c>
      <c r="F203" s="414"/>
      <c r="G203" s="414"/>
      <c r="H203" s="414"/>
      <c r="I203" s="414"/>
      <c r="J203" s="414"/>
      <c r="K203" s="414"/>
      <c r="L203" s="414"/>
      <c r="M203" s="414"/>
      <c r="N203" s="414"/>
      <c r="O203" s="414"/>
      <c r="P203" s="504"/>
      <c r="Q203" s="420"/>
    </row>
    <row r="204" spans="2:17">
      <c r="B204" s="386"/>
      <c r="C204" s="371"/>
      <c r="D204" s="420" t="s">
        <v>146</v>
      </c>
      <c r="E204" s="28" t="s">
        <v>207</v>
      </c>
      <c r="F204" s="387">
        <f>F$189*IF(F203="",F202,F203)</f>
        <v>57851.951455658753</v>
      </c>
      <c r="G204" s="387">
        <f t="shared" ref="G204" si="155">G$189*IF(G203="",G202,G203)</f>
        <v>0</v>
      </c>
      <c r="H204" s="387">
        <f t="shared" ref="H204" si="156">H$189*IF(H203="",H202,H203)</f>
        <v>0</v>
      </c>
      <c r="I204" s="387">
        <f t="shared" ref="I204" si="157">I$189*IF(I203="",I202,I203)</f>
        <v>0</v>
      </c>
      <c r="J204" s="387">
        <f t="shared" ref="J204" si="158">J$189*IF(J203="",J202,J203)</f>
        <v>0</v>
      </c>
      <c r="K204" s="387">
        <f t="shared" ref="K204" si="159">K$189*IF(K203="",K202,K203)</f>
        <v>0</v>
      </c>
      <c r="L204" s="387">
        <f t="shared" ref="L204" si="160">L$189*IF(L203="",L202,L203)</f>
        <v>0</v>
      </c>
      <c r="M204" s="387">
        <f t="shared" ref="M204" si="161">M$189*IF(M203="",M202,M203)</f>
        <v>0</v>
      </c>
      <c r="N204" s="387">
        <f t="shared" ref="N204" si="162">N$189*IF(N203="",N202,N203)</f>
        <v>0</v>
      </c>
      <c r="O204" s="387">
        <f t="shared" ref="O204" si="163">O$189*IF(O203="",O202,O203)</f>
        <v>0</v>
      </c>
      <c r="P204" s="504"/>
      <c r="Q204" s="420"/>
    </row>
    <row r="205" spans="2:17" ht="56.25">
      <c r="B205" s="382" t="s">
        <v>376</v>
      </c>
      <c r="C205" s="371"/>
      <c r="D205" s="420" t="s">
        <v>357</v>
      </c>
      <c r="E205" s="28" t="s">
        <v>123</v>
      </c>
      <c r="F205" s="412" t="s">
        <v>377</v>
      </c>
      <c r="G205" s="412" t="s">
        <v>378</v>
      </c>
      <c r="H205" s="412" t="s">
        <v>379</v>
      </c>
      <c r="I205" s="412" t="s">
        <v>380</v>
      </c>
      <c r="J205" s="412" t="s">
        <v>381</v>
      </c>
      <c r="K205" s="412" t="s">
        <v>382</v>
      </c>
      <c r="L205" s="412" t="s">
        <v>668</v>
      </c>
      <c r="M205" s="412" t="s">
        <v>669</v>
      </c>
      <c r="N205" s="412" t="s">
        <v>383</v>
      </c>
      <c r="O205" s="412" t="s">
        <v>384</v>
      </c>
      <c r="P205" s="504"/>
      <c r="Q205" s="420"/>
    </row>
    <row r="206" spans="2:17">
      <c r="B206" s="383"/>
      <c r="C206" s="371"/>
      <c r="D206" s="420" t="s">
        <v>227</v>
      </c>
      <c r="E206" s="28" t="s">
        <v>299</v>
      </c>
      <c r="F206" s="342">
        <f t="shared" ref="F206:O206" si="164">IF(F190=Arid,0,_xlfn.XLOOKUP(F205,Plant_and_seed_apply_fertiliser_names_CS,Plant_and_seed_fertiliser_apply_rates_CS))</f>
        <v>151.0736</v>
      </c>
      <c r="G206" s="342">
        <f t="shared" si="164"/>
        <v>39.473333333333336</v>
      </c>
      <c r="H206" s="342">
        <f t="shared" si="164"/>
        <v>151.0736</v>
      </c>
      <c r="I206" s="342">
        <f t="shared" si="164"/>
        <v>39.473333333333336</v>
      </c>
      <c r="J206" s="342">
        <f t="shared" si="164"/>
        <v>9.4736000000000011</v>
      </c>
      <c r="K206" s="342">
        <f t="shared" si="164"/>
        <v>9.4736000000000011</v>
      </c>
      <c r="L206" s="342">
        <f t="shared" si="164"/>
        <v>0</v>
      </c>
      <c r="M206" s="342">
        <f t="shared" si="164"/>
        <v>0</v>
      </c>
      <c r="N206" s="342">
        <f t="shared" si="164"/>
        <v>0</v>
      </c>
      <c r="O206" s="342">
        <f t="shared" si="164"/>
        <v>0</v>
      </c>
      <c r="P206" s="504"/>
      <c r="Q206" s="420"/>
    </row>
    <row r="207" spans="2:17">
      <c r="B207" s="383"/>
      <c r="C207" s="371"/>
      <c r="D207" s="427" t="s">
        <v>229</v>
      </c>
      <c r="E207" s="28" t="s">
        <v>329</v>
      </c>
      <c r="F207" s="414"/>
      <c r="G207" s="414"/>
      <c r="H207" s="414"/>
      <c r="I207" s="414"/>
      <c r="J207" s="414"/>
      <c r="K207" s="414"/>
      <c r="L207" s="414"/>
      <c r="M207" s="414"/>
      <c r="N207" s="414"/>
      <c r="O207" s="414"/>
      <c r="P207" s="504"/>
      <c r="Q207" s="420"/>
    </row>
    <row r="208" spans="2:17">
      <c r="B208" s="386"/>
      <c r="C208" s="371"/>
      <c r="D208" s="420" t="s">
        <v>146</v>
      </c>
      <c r="E208" s="28" t="s">
        <v>207</v>
      </c>
      <c r="F208" s="387">
        <f>F$189*IF(F207="",F206,F207)</f>
        <v>25884.300788463279</v>
      </c>
      <c r="G208" s="387">
        <f t="shared" ref="G208" si="165">G$189*IF(G207="",G206,G207)</f>
        <v>0</v>
      </c>
      <c r="H208" s="387">
        <f t="shared" ref="H208" si="166">H$189*IF(H207="",H206,H207)</f>
        <v>0</v>
      </c>
      <c r="I208" s="387">
        <f t="shared" ref="I208" si="167">I$189*IF(I207="",I206,I207)</f>
        <v>0</v>
      </c>
      <c r="J208" s="387">
        <f t="shared" ref="J208" si="168">J$189*IF(J207="",J206,J207)</f>
        <v>0</v>
      </c>
      <c r="K208" s="387">
        <f t="shared" ref="K208" si="169">K$189*IF(K207="",K206,K207)</f>
        <v>0</v>
      </c>
      <c r="L208" s="387">
        <f t="shared" ref="L208" si="170">L$189*IF(L207="",L206,L207)</f>
        <v>0</v>
      </c>
      <c r="M208" s="387">
        <f t="shared" ref="M208" si="171">M$189*IF(M207="",M206,M207)</f>
        <v>0</v>
      </c>
      <c r="N208" s="387">
        <f t="shared" ref="N208" si="172">N$189*IF(N207="",N206,N207)</f>
        <v>0</v>
      </c>
      <c r="O208" s="387">
        <f t="shared" ref="O208" si="173">O$189*IF(O207="",O206,O207)</f>
        <v>0</v>
      </c>
      <c r="P208" s="504"/>
      <c r="Q208" s="420"/>
    </row>
    <row r="209" spans="2:17" ht="45">
      <c r="B209" s="382" t="s">
        <v>386</v>
      </c>
      <c r="C209" s="371"/>
      <c r="D209" s="420" t="s">
        <v>357</v>
      </c>
      <c r="E209" s="28" t="s">
        <v>123</v>
      </c>
      <c r="F209" s="412" t="s">
        <v>387</v>
      </c>
      <c r="G209" s="412" t="s">
        <v>388</v>
      </c>
      <c r="H209" s="412" t="s">
        <v>389</v>
      </c>
      <c r="I209" s="412" t="s">
        <v>390</v>
      </c>
      <c r="J209" s="412" t="s">
        <v>391</v>
      </c>
      <c r="K209" s="412" t="s">
        <v>392</v>
      </c>
      <c r="L209" s="412" t="s">
        <v>827</v>
      </c>
      <c r="M209" s="412" t="s">
        <v>670</v>
      </c>
      <c r="N209" s="412" t="s">
        <v>393</v>
      </c>
      <c r="O209" s="412" t="s">
        <v>394</v>
      </c>
      <c r="P209" s="504"/>
      <c r="Q209" s="420"/>
    </row>
    <row r="210" spans="2:17">
      <c r="B210" s="383"/>
      <c r="C210" s="371"/>
      <c r="D210" s="420" t="s">
        <v>227</v>
      </c>
      <c r="E210" s="28" t="s">
        <v>299</v>
      </c>
      <c r="F210" s="342">
        <f t="shared" ref="F210:O210" si="174">IF(F190=Arid,0,_xlfn.XLOOKUP(F209,Plant_and_seed_buy_water_names_CS,Plant_and_seed_water_buy_rates_CS))</f>
        <v>1200</v>
      </c>
      <c r="G210" s="342">
        <f t="shared" si="174"/>
        <v>1200</v>
      </c>
      <c r="H210" s="342">
        <f t="shared" si="174"/>
        <v>1200</v>
      </c>
      <c r="I210" s="342">
        <f t="shared" si="174"/>
        <v>1200</v>
      </c>
      <c r="J210" s="342">
        <f t="shared" si="174"/>
        <v>100</v>
      </c>
      <c r="K210" s="342">
        <f t="shared" si="174"/>
        <v>100</v>
      </c>
      <c r="L210" s="342">
        <f t="shared" si="174"/>
        <v>600</v>
      </c>
      <c r="M210" s="342">
        <f t="shared" si="174"/>
        <v>600</v>
      </c>
      <c r="N210" s="342">
        <f t="shared" si="174"/>
        <v>600</v>
      </c>
      <c r="O210" s="342">
        <f t="shared" si="174"/>
        <v>1200</v>
      </c>
      <c r="P210" s="504"/>
      <c r="Q210" s="420"/>
    </row>
    <row r="211" spans="2:17">
      <c r="B211" s="383"/>
      <c r="C211" s="371"/>
      <c r="D211" s="427" t="s">
        <v>229</v>
      </c>
      <c r="E211" s="28" t="s">
        <v>329</v>
      </c>
      <c r="F211" s="414"/>
      <c r="G211" s="414"/>
      <c r="H211" s="414"/>
      <c r="I211" s="414"/>
      <c r="J211" s="414"/>
      <c r="K211" s="414"/>
      <c r="L211" s="414"/>
      <c r="M211" s="414"/>
      <c r="N211" s="414"/>
      <c r="O211" s="414"/>
      <c r="P211" s="504"/>
      <c r="Q211" s="420"/>
    </row>
    <row r="212" spans="2:17">
      <c r="B212" s="386"/>
      <c r="C212" s="371"/>
      <c r="D212" s="420" t="s">
        <v>146</v>
      </c>
      <c r="E212" s="28" t="s">
        <v>207</v>
      </c>
      <c r="F212" s="387">
        <f>F$189*IF(F211="",F210,F211)</f>
        <v>205602.83825999999</v>
      </c>
      <c r="G212" s="387">
        <f t="shared" ref="G212" si="175">G$189*IF(G211="",G210,G211)</f>
        <v>0</v>
      </c>
      <c r="H212" s="387">
        <f t="shared" ref="H212" si="176">H$189*IF(H211="",H210,H211)</f>
        <v>0</v>
      </c>
      <c r="I212" s="387">
        <f t="shared" ref="I212" si="177">I$189*IF(I211="",I210,I211)</f>
        <v>0</v>
      </c>
      <c r="J212" s="387">
        <f t="shared" ref="J212" si="178">J$189*IF(J211="",J210,J211)</f>
        <v>0</v>
      </c>
      <c r="K212" s="387">
        <f t="shared" ref="K212" si="179">K$189*IF(K211="",K210,K211)</f>
        <v>0</v>
      </c>
      <c r="L212" s="387">
        <f t="shared" ref="L212" si="180">L$189*IF(L211="",L210,L211)</f>
        <v>0</v>
      </c>
      <c r="M212" s="387">
        <f t="shared" ref="M212" si="181">M$189*IF(M211="",M210,M211)</f>
        <v>0</v>
      </c>
      <c r="N212" s="387">
        <f t="shared" ref="N212" si="182">N$189*IF(N211="",N210,N211)</f>
        <v>0</v>
      </c>
      <c r="O212" s="387">
        <f t="shared" ref="O212" si="183">O$189*IF(O211="",O210,O211)</f>
        <v>0</v>
      </c>
      <c r="P212" s="504"/>
      <c r="Q212" s="420"/>
    </row>
    <row r="213" spans="2:17" ht="56.25">
      <c r="B213" s="382" t="s">
        <v>396</v>
      </c>
      <c r="C213" s="371"/>
      <c r="D213" s="420" t="s">
        <v>357</v>
      </c>
      <c r="E213" s="28" t="s">
        <v>123</v>
      </c>
      <c r="F213" s="412" t="s">
        <v>397</v>
      </c>
      <c r="G213" s="412" t="s">
        <v>398</v>
      </c>
      <c r="H213" s="412" t="s">
        <v>399</v>
      </c>
      <c r="I213" s="412" t="s">
        <v>400</v>
      </c>
      <c r="J213" s="412" t="s">
        <v>401</v>
      </c>
      <c r="K213" s="412" t="s">
        <v>402</v>
      </c>
      <c r="L213" s="412" t="s">
        <v>671</v>
      </c>
      <c r="M213" s="412" t="s">
        <v>672</v>
      </c>
      <c r="N213" s="412" t="s">
        <v>403</v>
      </c>
      <c r="O213" s="412" t="s">
        <v>404</v>
      </c>
      <c r="P213" s="504"/>
      <c r="Q213" s="420"/>
    </row>
    <row r="214" spans="2:17">
      <c r="B214" s="577"/>
      <c r="C214" s="578"/>
      <c r="D214" s="420" t="s">
        <v>227</v>
      </c>
      <c r="E214" s="28" t="s">
        <v>299</v>
      </c>
      <c r="F214" s="342">
        <f t="shared" ref="F214:O214" si="184">IF(F190=Arid,0,_xlfn.XLOOKUP(F213,Plant_and_seed_apply_water_names_CS,Plant_and_seed_apply_water_rates_CS))</f>
        <v>167.66666666666666</v>
      </c>
      <c r="G214" s="342">
        <f t="shared" si="184"/>
        <v>167.66666666666666</v>
      </c>
      <c r="H214" s="342">
        <f t="shared" si="184"/>
        <v>167.66666666666666</v>
      </c>
      <c r="I214" s="342">
        <f t="shared" si="184"/>
        <v>167.66666666666666</v>
      </c>
      <c r="J214" s="342">
        <f t="shared" si="184"/>
        <v>167.66666666666666</v>
      </c>
      <c r="K214" s="342">
        <f t="shared" si="184"/>
        <v>167.66666666666666</v>
      </c>
      <c r="L214" s="342">
        <f t="shared" si="184"/>
        <v>188.625</v>
      </c>
      <c r="M214" s="342">
        <f t="shared" si="184"/>
        <v>188.625</v>
      </c>
      <c r="N214" s="342">
        <f t="shared" si="184"/>
        <v>18.862500000000001</v>
      </c>
      <c r="O214" s="342">
        <f t="shared" si="184"/>
        <v>18.862500000000001</v>
      </c>
      <c r="P214" s="504"/>
      <c r="Q214" s="420"/>
    </row>
    <row r="215" spans="2:17">
      <c r="B215" s="577"/>
      <c r="C215" s="578"/>
      <c r="D215" s="427" t="s">
        <v>229</v>
      </c>
      <c r="E215" s="28" t="s">
        <v>329</v>
      </c>
      <c r="F215" s="414"/>
      <c r="G215" s="414"/>
      <c r="H215" s="414"/>
      <c r="I215" s="414"/>
      <c r="J215" s="414"/>
      <c r="K215" s="414"/>
      <c r="L215" s="414"/>
      <c r="M215" s="414"/>
      <c r="N215" s="414"/>
      <c r="O215" s="414"/>
      <c r="P215" s="504"/>
      <c r="Q215" s="420"/>
    </row>
    <row r="216" spans="2:17">
      <c r="B216" s="579"/>
      <c r="C216" s="580"/>
      <c r="D216" s="420" t="s">
        <v>146</v>
      </c>
      <c r="E216" s="28" t="s">
        <v>207</v>
      </c>
      <c r="F216" s="387">
        <f>F$189*IF(F215="",F214,F215)</f>
        <v>28727.285456883328</v>
      </c>
      <c r="G216" s="387">
        <f t="shared" ref="G216" si="185">G$189*IF(G215="",G214,G215)</f>
        <v>0</v>
      </c>
      <c r="H216" s="387">
        <f t="shared" ref="H216" si="186">H$189*IF(H215="",H214,H215)</f>
        <v>0</v>
      </c>
      <c r="I216" s="387">
        <f t="shared" ref="I216" si="187">I$189*IF(I215="",I214,I215)</f>
        <v>0</v>
      </c>
      <c r="J216" s="387">
        <f t="shared" ref="J216" si="188">J$189*IF(J215="",J214,J215)</f>
        <v>0</v>
      </c>
      <c r="K216" s="387">
        <f t="shared" ref="K216" si="189">K$189*IF(K215="",K214,K215)</f>
        <v>0</v>
      </c>
      <c r="L216" s="387">
        <f t="shared" ref="L216" si="190">L$189*IF(L215="",L214,L215)</f>
        <v>0</v>
      </c>
      <c r="M216" s="387">
        <f t="shared" ref="M216" si="191">M$189*IF(M215="",M214,M215)</f>
        <v>0</v>
      </c>
      <c r="N216" s="387">
        <f t="shared" ref="N216" si="192">N$189*IF(N215="",N214,N215)</f>
        <v>0</v>
      </c>
      <c r="O216" s="387">
        <f t="shared" ref="O216" si="193">O$189*IF(O215="",O214,O215)</f>
        <v>0</v>
      </c>
      <c r="P216" s="504"/>
      <c r="Q216" s="420"/>
    </row>
    <row r="217" spans="2:17" ht="12" thickBot="1">
      <c r="B217" s="550"/>
      <c r="C217" s="551"/>
      <c r="D217" s="552" t="str">
        <f>B176</f>
        <v>Revegetate land</v>
      </c>
      <c r="E217" s="72"/>
      <c r="F217" s="365">
        <f>F196+F200+F204+F208+F212+F216</f>
        <v>538995.23814582243</v>
      </c>
      <c r="G217" s="365">
        <f t="shared" ref="G217:O217" si="194">G196+G200+G204+G208+G212+G216</f>
        <v>0</v>
      </c>
      <c r="H217" s="365">
        <f t="shared" si="194"/>
        <v>0</v>
      </c>
      <c r="I217" s="365">
        <f t="shared" si="194"/>
        <v>0</v>
      </c>
      <c r="J217" s="365">
        <f t="shared" si="194"/>
        <v>0</v>
      </c>
      <c r="K217" s="365">
        <f t="shared" si="194"/>
        <v>0</v>
      </c>
      <c r="L217" s="365">
        <f t="shared" si="194"/>
        <v>0</v>
      </c>
      <c r="M217" s="365">
        <f t="shared" si="194"/>
        <v>0</v>
      </c>
      <c r="N217" s="365">
        <f t="shared" si="194"/>
        <v>0</v>
      </c>
      <c r="O217" s="365">
        <f t="shared" si="194"/>
        <v>0</v>
      </c>
      <c r="P217" s="504"/>
      <c r="Q217" s="420"/>
    </row>
    <row r="218" spans="2:17" ht="68.25" thickTop="1">
      <c r="B218" s="428" t="s">
        <v>534</v>
      </c>
      <c r="C218" s="429"/>
      <c r="D218" s="576" t="s">
        <v>55</v>
      </c>
      <c r="E218" s="28" t="s">
        <v>123</v>
      </c>
      <c r="F218" s="462" t="s">
        <v>535</v>
      </c>
      <c r="G218" s="462" t="s">
        <v>742</v>
      </c>
      <c r="H218" s="462" t="s">
        <v>743</v>
      </c>
      <c r="I218" s="462" t="s">
        <v>536</v>
      </c>
      <c r="J218" s="462" t="s">
        <v>537</v>
      </c>
      <c r="K218" s="462" t="s">
        <v>538</v>
      </c>
      <c r="L218" s="462" t="s">
        <v>535</v>
      </c>
      <c r="M218" s="462" t="s">
        <v>535</v>
      </c>
      <c r="N218" s="462" t="s">
        <v>535</v>
      </c>
      <c r="O218" s="462" t="s">
        <v>535</v>
      </c>
      <c r="P218" s="504"/>
      <c r="Q218" s="420"/>
    </row>
    <row r="219" spans="2:17">
      <c r="B219" s="581"/>
      <c r="C219" s="582"/>
      <c r="D219" s="576" t="s">
        <v>214</v>
      </c>
      <c r="E219" s="28" t="s">
        <v>299</v>
      </c>
      <c r="F219" s="455">
        <f>F11</f>
        <v>171.32999999999998</v>
      </c>
      <c r="G219" s="455"/>
      <c r="H219" s="455"/>
      <c r="I219" s="455"/>
      <c r="J219" s="455"/>
      <c r="K219" s="455"/>
      <c r="L219" s="455"/>
      <c r="M219" s="455"/>
      <c r="N219" s="455"/>
      <c r="O219" s="455"/>
      <c r="P219" s="504"/>
      <c r="Q219" s="420"/>
    </row>
    <row r="220" spans="2:17">
      <c r="B220" s="581"/>
      <c r="C220" s="582"/>
      <c r="D220" s="576" t="s">
        <v>204</v>
      </c>
      <c r="E220" s="28" t="s">
        <v>329</v>
      </c>
      <c r="F220" s="438">
        <f t="shared" ref="F220:O220" si="195">_xlfn.XLOOKUP(F218,Maintenance_rehab_areas_names_CS,Maintenance_rehab_areas_rates_CS)</f>
        <v>1047.9768316769243</v>
      </c>
      <c r="G220" s="438">
        <f t="shared" si="195"/>
        <v>473.09634541637763</v>
      </c>
      <c r="H220" s="438">
        <f t="shared" si="195"/>
        <v>1266.6334079070016</v>
      </c>
      <c r="I220" s="438">
        <f t="shared" si="195"/>
        <v>1978.1198943934883</v>
      </c>
      <c r="J220" s="438">
        <f t="shared" si="195"/>
        <v>3401.0928673664612</v>
      </c>
      <c r="K220" s="438">
        <f t="shared" si="195"/>
        <v>27579.416003948303</v>
      </c>
      <c r="L220" s="438">
        <f t="shared" si="195"/>
        <v>1047.9768316769243</v>
      </c>
      <c r="M220" s="438">
        <f t="shared" si="195"/>
        <v>1047.9768316769243</v>
      </c>
      <c r="N220" s="438">
        <f t="shared" si="195"/>
        <v>1047.9768316769243</v>
      </c>
      <c r="O220" s="438">
        <f t="shared" si="195"/>
        <v>1047.9768316769243</v>
      </c>
      <c r="P220" s="504"/>
      <c r="Q220" s="420"/>
    </row>
    <row r="221" spans="2:17">
      <c r="B221" s="581"/>
      <c r="C221" s="582"/>
      <c r="D221" s="576" t="s">
        <v>206</v>
      </c>
      <c r="E221" s="28" t="s">
        <v>329</v>
      </c>
      <c r="F221" s="414"/>
      <c r="G221" s="414"/>
      <c r="H221" s="414"/>
      <c r="I221" s="414"/>
      <c r="J221" s="414"/>
      <c r="K221" s="414"/>
      <c r="L221" s="414"/>
      <c r="M221" s="414"/>
      <c r="N221" s="414"/>
      <c r="O221" s="414"/>
      <c r="P221" s="504"/>
      <c r="Q221" s="420"/>
    </row>
    <row r="222" spans="2:17">
      <c r="B222" s="583"/>
      <c r="C222" s="584"/>
      <c r="D222" s="576" t="s">
        <v>146</v>
      </c>
      <c r="E222" s="28" t="s">
        <v>329</v>
      </c>
      <c r="F222" s="380">
        <f t="shared" ref="F222:O222" si="196">F219*IF(F221="",F220,F221)</f>
        <v>179549.87057120743</v>
      </c>
      <c r="G222" s="380">
        <f t="shared" si="196"/>
        <v>0</v>
      </c>
      <c r="H222" s="380">
        <f t="shared" si="196"/>
        <v>0</v>
      </c>
      <c r="I222" s="380">
        <f t="shared" si="196"/>
        <v>0</v>
      </c>
      <c r="J222" s="380">
        <f t="shared" si="196"/>
        <v>0</v>
      </c>
      <c r="K222" s="380">
        <f t="shared" si="196"/>
        <v>0</v>
      </c>
      <c r="L222" s="380">
        <f t="shared" si="196"/>
        <v>0</v>
      </c>
      <c r="M222" s="380">
        <f t="shared" si="196"/>
        <v>0</v>
      </c>
      <c r="N222" s="380">
        <f t="shared" si="196"/>
        <v>0</v>
      </c>
      <c r="O222" s="380">
        <f t="shared" si="196"/>
        <v>0</v>
      </c>
      <c r="P222" s="504"/>
      <c r="Q222" s="420"/>
    </row>
    <row r="223" spans="2:17">
      <c r="B223" s="585"/>
      <c r="C223" s="586"/>
      <c r="D223" s="587" t="str">
        <f>B218</f>
        <v>Maintenance of Rehabilitated Areas and Repairs</v>
      </c>
      <c r="E223" s="441"/>
      <c r="F223" s="97">
        <f>F222</f>
        <v>179549.87057120743</v>
      </c>
      <c r="G223" s="97">
        <f t="shared" ref="G223:O223" si="197">G222</f>
        <v>0</v>
      </c>
      <c r="H223" s="97">
        <f t="shared" si="197"/>
        <v>0</v>
      </c>
      <c r="I223" s="97">
        <f t="shared" si="197"/>
        <v>0</v>
      </c>
      <c r="J223" s="97">
        <f t="shared" si="197"/>
        <v>0</v>
      </c>
      <c r="K223" s="97">
        <f t="shared" si="197"/>
        <v>0</v>
      </c>
      <c r="L223" s="97">
        <f t="shared" si="197"/>
        <v>0</v>
      </c>
      <c r="M223" s="97">
        <f t="shared" si="197"/>
        <v>0</v>
      </c>
      <c r="N223" s="97">
        <f t="shared" si="197"/>
        <v>0</v>
      </c>
      <c r="O223" s="97">
        <f t="shared" si="197"/>
        <v>0</v>
      </c>
      <c r="P223" s="504"/>
      <c r="Q223" s="420"/>
    </row>
    <row r="224" spans="2:17" ht="22.5">
      <c r="B224" s="428" t="s">
        <v>744</v>
      </c>
      <c r="C224" s="429"/>
      <c r="D224" s="420" t="s">
        <v>311</v>
      </c>
      <c r="E224" s="28" t="s">
        <v>123</v>
      </c>
      <c r="F224" s="412" t="s">
        <v>745</v>
      </c>
      <c r="G224" s="412" t="s">
        <v>746</v>
      </c>
      <c r="H224" s="412" t="s">
        <v>747</v>
      </c>
      <c r="I224" s="412" t="s">
        <v>568</v>
      </c>
      <c r="J224" s="412" t="s">
        <v>748</v>
      </c>
      <c r="K224" s="412" t="s">
        <v>564</v>
      </c>
      <c r="L224" s="412" t="s">
        <v>569</v>
      </c>
      <c r="M224" s="412" t="s">
        <v>565</v>
      </c>
      <c r="N224" s="412" t="s">
        <v>566</v>
      </c>
      <c r="O224" s="412" t="s">
        <v>570</v>
      </c>
      <c r="P224" s="504"/>
      <c r="Q224" s="420"/>
    </row>
    <row r="225" spans="2:17">
      <c r="B225" s="430"/>
      <c r="C225" s="431"/>
      <c r="D225" s="420" t="s">
        <v>355</v>
      </c>
      <c r="E225" s="28" t="s">
        <v>571</v>
      </c>
      <c r="F225" s="454"/>
      <c r="G225" s="454"/>
      <c r="H225" s="454"/>
      <c r="I225" s="454"/>
      <c r="J225" s="454"/>
      <c r="K225" s="454"/>
      <c r="L225" s="454"/>
      <c r="M225" s="454"/>
      <c r="N225" s="454"/>
      <c r="O225" s="454"/>
      <c r="P225" s="504"/>
      <c r="Q225" s="420"/>
    </row>
    <row r="226" spans="2:17">
      <c r="B226" s="430"/>
      <c r="C226" s="431"/>
      <c r="D226" s="420" t="s">
        <v>353</v>
      </c>
      <c r="F226" s="385" t="str">
        <f t="shared" ref="F226:O226" si="198">_xlfn.XLOOKUP(F224,Waste_names_L,Waste_qty_units_L)</f>
        <v>tonne</v>
      </c>
      <c r="G226" s="385" t="str">
        <f t="shared" si="198"/>
        <v>tonne</v>
      </c>
      <c r="H226" s="385" t="str">
        <f t="shared" si="198"/>
        <v>kL</v>
      </c>
      <c r="I226" s="385" t="str">
        <f t="shared" si="198"/>
        <v>kL</v>
      </c>
      <c r="J226" s="385" t="str">
        <f t="shared" si="198"/>
        <v>tonne</v>
      </c>
      <c r="K226" s="385" t="str">
        <f t="shared" si="198"/>
        <v>m2</v>
      </c>
      <c r="L226" s="385" t="str">
        <f t="shared" si="198"/>
        <v>m</v>
      </c>
      <c r="M226" s="385" t="str">
        <f t="shared" si="198"/>
        <v>tonne</v>
      </c>
      <c r="N226" s="385" t="str">
        <f t="shared" si="198"/>
        <v>tonne</v>
      </c>
      <c r="O226" s="385" t="str">
        <f t="shared" si="198"/>
        <v>m2</v>
      </c>
      <c r="P226" s="504"/>
      <c r="Q226" s="420"/>
    </row>
    <row r="227" spans="2:17">
      <c r="B227" s="430"/>
      <c r="C227" s="431"/>
      <c r="D227" s="420" t="s">
        <v>572</v>
      </c>
      <c r="E227" s="28" t="s">
        <v>573</v>
      </c>
      <c r="F227" s="385">
        <f t="shared" ref="F227:O227" si="199">IF(OR(F224=Concrete_rubble_debris_disposal,F224=Steel_disposal,F224=Asbestos_in_soil,F224=Hazardous_waste,F224=Restricted_solid_waste,F224=Low_level_solid_waste,F224=Oil_disposal,F224=Oily_water_disposal),1*F225,IF(F224=Asbestos_from_buildings,F225*Asbestos_sheet_density,IF(F224=Asbestos_from_pipe,F225*Asbestos_pipe_specific_density,IF(F224=Plastic_liner_disposal,F225*Liner_specific_mass))))</f>
        <v>0</v>
      </c>
      <c r="G227" s="385">
        <f t="shared" si="199"/>
        <v>0</v>
      </c>
      <c r="H227" s="385">
        <f t="shared" si="199"/>
        <v>0</v>
      </c>
      <c r="I227" s="385">
        <f t="shared" si="199"/>
        <v>0</v>
      </c>
      <c r="J227" s="385">
        <f t="shared" si="199"/>
        <v>0</v>
      </c>
      <c r="K227" s="385">
        <f t="shared" si="199"/>
        <v>0</v>
      </c>
      <c r="L227" s="385">
        <f t="shared" si="199"/>
        <v>0</v>
      </c>
      <c r="M227" s="385">
        <f t="shared" si="199"/>
        <v>0</v>
      </c>
      <c r="N227" s="385">
        <f t="shared" si="199"/>
        <v>0</v>
      </c>
      <c r="O227" s="385">
        <f t="shared" si="199"/>
        <v>0</v>
      </c>
      <c r="P227" s="504"/>
      <c r="Q227" s="420"/>
    </row>
    <row r="228" spans="2:17">
      <c r="B228" s="430"/>
      <c r="C228" s="431"/>
      <c r="D228" s="420" t="s">
        <v>574</v>
      </c>
      <c r="E228" s="28" t="s">
        <v>573</v>
      </c>
      <c r="F228" s="455"/>
      <c r="G228" s="455"/>
      <c r="H228" s="455"/>
      <c r="I228" s="455"/>
      <c r="J228" s="455"/>
      <c r="K228" s="455"/>
      <c r="L228" s="455"/>
      <c r="M228" s="455"/>
      <c r="N228" s="455"/>
      <c r="O228" s="455"/>
      <c r="P228" s="504"/>
      <c r="Q228" s="420"/>
    </row>
    <row r="229" spans="2:17">
      <c r="B229" s="430"/>
      <c r="C229" s="431"/>
      <c r="D229" s="420" t="s">
        <v>575</v>
      </c>
      <c r="E229" s="28" t="s">
        <v>573</v>
      </c>
      <c r="F229" s="385">
        <f>IF(F228="",F227,F228)</f>
        <v>0</v>
      </c>
      <c r="G229" s="385">
        <f t="shared" ref="G229:O229" si="200">IF(G228="",G227,G228)</f>
        <v>0</v>
      </c>
      <c r="H229" s="385">
        <f t="shared" si="200"/>
        <v>0</v>
      </c>
      <c r="I229" s="385">
        <f t="shared" si="200"/>
        <v>0</v>
      </c>
      <c r="J229" s="385">
        <f t="shared" si="200"/>
        <v>0</v>
      </c>
      <c r="K229" s="385">
        <f t="shared" si="200"/>
        <v>0</v>
      </c>
      <c r="L229" s="385">
        <f t="shared" si="200"/>
        <v>0</v>
      </c>
      <c r="M229" s="385">
        <f t="shared" si="200"/>
        <v>0</v>
      </c>
      <c r="N229" s="385">
        <f t="shared" si="200"/>
        <v>0</v>
      </c>
      <c r="O229" s="385">
        <f t="shared" si="200"/>
        <v>0</v>
      </c>
      <c r="P229" s="504"/>
      <c r="Q229" s="420"/>
    </row>
    <row r="230" spans="2:17">
      <c r="B230" s="446" t="s">
        <v>576</v>
      </c>
      <c r="C230" s="429"/>
      <c r="D230" s="420" t="s">
        <v>327</v>
      </c>
      <c r="E230" s="28" t="s">
        <v>411</v>
      </c>
      <c r="F230" s="412" t="s">
        <v>545</v>
      </c>
      <c r="G230" s="412" t="s">
        <v>577</v>
      </c>
      <c r="H230" s="412" t="s">
        <v>251</v>
      </c>
      <c r="I230" s="412" t="s">
        <v>578</v>
      </c>
      <c r="J230" s="412" t="s">
        <v>578</v>
      </c>
      <c r="K230" s="412" t="s">
        <v>578</v>
      </c>
      <c r="L230" s="412" t="s">
        <v>578</v>
      </c>
      <c r="M230" s="412" t="s">
        <v>578</v>
      </c>
      <c r="N230" s="412" t="s">
        <v>578</v>
      </c>
      <c r="O230" s="412" t="s">
        <v>578</v>
      </c>
      <c r="P230" s="504"/>
      <c r="Q230" s="420"/>
    </row>
    <row r="231" spans="2:17">
      <c r="B231" s="430"/>
      <c r="C231" s="431"/>
      <c r="D231" s="420" t="s">
        <v>579</v>
      </c>
      <c r="E231" s="28" t="s">
        <v>411</v>
      </c>
      <c r="F231" s="385">
        <f t="shared" ref="F231:O231" si="201">_xlfn.XLOOKUP(F230,Long_haul_distance_names_L,Long_haul_distances_average_L)</f>
        <v>17.5</v>
      </c>
      <c r="G231" s="385">
        <f t="shared" si="201"/>
        <v>22.5</v>
      </c>
      <c r="H231" s="385">
        <f t="shared" si="201"/>
        <v>42.5</v>
      </c>
      <c r="I231" s="385">
        <f t="shared" si="201"/>
        <v>37.5</v>
      </c>
      <c r="J231" s="385">
        <f t="shared" si="201"/>
        <v>37.5</v>
      </c>
      <c r="K231" s="385">
        <f t="shared" si="201"/>
        <v>37.5</v>
      </c>
      <c r="L231" s="385">
        <f t="shared" si="201"/>
        <v>37.5</v>
      </c>
      <c r="M231" s="385">
        <f t="shared" si="201"/>
        <v>37.5</v>
      </c>
      <c r="N231" s="385">
        <f t="shared" si="201"/>
        <v>37.5</v>
      </c>
      <c r="O231" s="385">
        <f t="shared" si="201"/>
        <v>37.5</v>
      </c>
      <c r="P231" s="504"/>
      <c r="Q231" s="420"/>
    </row>
    <row r="232" spans="2:17">
      <c r="B232" s="430"/>
      <c r="C232" s="431"/>
      <c r="D232" s="420" t="s">
        <v>580</v>
      </c>
      <c r="E232" s="28" t="s">
        <v>581</v>
      </c>
      <c r="F232" s="367">
        <f>F231*F229</f>
        <v>0</v>
      </c>
      <c r="G232" s="367">
        <f t="shared" ref="G232:O232" si="202">G231*G229</f>
        <v>0</v>
      </c>
      <c r="H232" s="367">
        <f t="shared" si="202"/>
        <v>0</v>
      </c>
      <c r="I232" s="367">
        <f t="shared" si="202"/>
        <v>0</v>
      </c>
      <c r="J232" s="367">
        <f t="shared" si="202"/>
        <v>0</v>
      </c>
      <c r="K232" s="367">
        <f t="shared" si="202"/>
        <v>0</v>
      </c>
      <c r="L232" s="367">
        <f t="shared" si="202"/>
        <v>0</v>
      </c>
      <c r="M232" s="367">
        <f t="shared" si="202"/>
        <v>0</v>
      </c>
      <c r="N232" s="367">
        <f t="shared" si="202"/>
        <v>0</v>
      </c>
      <c r="O232" s="367">
        <f t="shared" si="202"/>
        <v>0</v>
      </c>
      <c r="P232" s="504"/>
      <c r="Q232" s="420"/>
    </row>
    <row r="233" spans="2:17">
      <c r="B233" s="430"/>
      <c r="C233" s="431"/>
      <c r="D233" s="420" t="s">
        <v>227</v>
      </c>
      <c r="E233" s="28" t="s">
        <v>582</v>
      </c>
      <c r="F233" s="342">
        <f t="shared" ref="F233:O233" si="203">IF(OR(F224=Concrete_rubble_debris_disposal,F224=Plastic_liner_disposal,F224=Asbestos_in_soil,F224=Asbestos_from_buildings,F224=Asbestos_from_pipe),_xlfn.XLOOKUP(F230,Long_haul_concrete_rubble_distances_CS,Long_haul_concrete_rubble_rates_CS),IF(OR(F224=Hazardous_waste,F224=Restricted_solid_waste,F224=Low_level_solid_waste),_xlfn.XLOOKUP(F230,Long_haul_soil_amend_names_mass_CS,Long_haul_soil_amend_rates_mass_CS),IF(F224=Oily_water_disposal,_xlfn.XLOOKUP(F230,Load_and_haul_water_names_CS,Load_and_haul_water_rates_CS),IF(F224=Steel_disposal,_xlfn.XLOOKUP(F230,Long_haul_steel_distances_CS,Long_haul_steel_rates_CS),IF(F224=Oil_disposal,_xlfn.XLOOKUP(F230,Long_haul_oil_names_CS,Long_haul_oil_rates_CS))))))</f>
        <v>0.52565650188523994</v>
      </c>
      <c r="G233" s="342">
        <f t="shared" si="203"/>
        <v>0.36400584795321633</v>
      </c>
      <c r="H233" s="342">
        <f t="shared" si="203"/>
        <v>1.0550659519168291</v>
      </c>
      <c r="I233" s="342">
        <f t="shared" si="203"/>
        <v>1.1096548408057179</v>
      </c>
      <c r="J233" s="342">
        <f t="shared" si="203"/>
        <v>0.32986652405716321</v>
      </c>
      <c r="K233" s="342">
        <f t="shared" si="203"/>
        <v>0.32986652405716321</v>
      </c>
      <c r="L233" s="342">
        <f t="shared" si="203"/>
        <v>0.32986652405716321</v>
      </c>
      <c r="M233" s="342">
        <f t="shared" si="203"/>
        <v>0.12388427816947212</v>
      </c>
      <c r="N233" s="342">
        <f t="shared" si="203"/>
        <v>0.12388427816947212</v>
      </c>
      <c r="O233" s="342">
        <f t="shared" si="203"/>
        <v>0.32986652405716321</v>
      </c>
      <c r="P233" s="504"/>
      <c r="Q233" s="420"/>
    </row>
    <row r="234" spans="2:17">
      <c r="B234" s="430"/>
      <c r="C234" s="431"/>
      <c r="D234" s="420" t="s">
        <v>229</v>
      </c>
      <c r="E234" s="28" t="s">
        <v>582</v>
      </c>
      <c r="F234" s="414"/>
      <c r="G234" s="414"/>
      <c r="H234" s="414"/>
      <c r="I234" s="414"/>
      <c r="J234" s="414"/>
      <c r="K234" s="414"/>
      <c r="L234" s="414"/>
      <c r="M234" s="414"/>
      <c r="N234" s="414"/>
      <c r="O234" s="414"/>
      <c r="P234" s="504"/>
      <c r="Q234" s="420"/>
    </row>
    <row r="235" spans="2:17">
      <c r="B235" s="432"/>
      <c r="C235" s="433"/>
      <c r="D235" s="420" t="s">
        <v>146</v>
      </c>
      <c r="E235" s="28" t="s">
        <v>207</v>
      </c>
      <c r="F235" s="424">
        <f t="shared" ref="F235:O235" si="204">F232*IF(F234="",F233,F234)</f>
        <v>0</v>
      </c>
      <c r="G235" s="424">
        <f t="shared" si="204"/>
        <v>0</v>
      </c>
      <c r="H235" s="424">
        <f t="shared" si="204"/>
        <v>0</v>
      </c>
      <c r="I235" s="424">
        <f t="shared" si="204"/>
        <v>0</v>
      </c>
      <c r="J235" s="424">
        <f t="shared" si="204"/>
        <v>0</v>
      </c>
      <c r="K235" s="424">
        <f t="shared" si="204"/>
        <v>0</v>
      </c>
      <c r="L235" s="424">
        <f t="shared" si="204"/>
        <v>0</v>
      </c>
      <c r="M235" s="424">
        <f t="shared" si="204"/>
        <v>0</v>
      </c>
      <c r="N235" s="424">
        <f t="shared" si="204"/>
        <v>0</v>
      </c>
      <c r="O235" s="424">
        <f t="shared" si="204"/>
        <v>0</v>
      </c>
      <c r="P235" s="504"/>
      <c r="Q235" s="420"/>
    </row>
    <row r="236" spans="2:17">
      <c r="B236" s="430" t="s">
        <v>583</v>
      </c>
      <c r="C236" s="431"/>
      <c r="D236" s="420" t="s">
        <v>227</v>
      </c>
      <c r="E236" s="28" t="s">
        <v>352</v>
      </c>
      <c r="F236" s="342">
        <f t="shared" ref="F236:O236" si="205">_xlfn.XLOOKUP(F224,Waste_gate_fee_names_R,Waste_gate_fee_rates_R)</f>
        <v>80</v>
      </c>
      <c r="G236" s="342">
        <f t="shared" si="205"/>
        <v>0</v>
      </c>
      <c r="H236" s="342">
        <f t="shared" si="205"/>
        <v>2000</v>
      </c>
      <c r="I236" s="342">
        <f t="shared" si="205"/>
        <v>330</v>
      </c>
      <c r="J236" s="342">
        <f t="shared" si="205"/>
        <v>300</v>
      </c>
      <c r="K236" s="342">
        <f t="shared" si="205"/>
        <v>460</v>
      </c>
      <c r="L236" s="342">
        <f t="shared" si="205"/>
        <v>80</v>
      </c>
      <c r="M236" s="342">
        <f t="shared" si="205"/>
        <v>800</v>
      </c>
      <c r="N236" s="342">
        <f t="shared" si="205"/>
        <v>460</v>
      </c>
      <c r="O236" s="342">
        <f t="shared" si="205"/>
        <v>0.16799999999999998</v>
      </c>
      <c r="P236" s="504"/>
      <c r="Q236" s="420"/>
    </row>
    <row r="237" spans="2:17">
      <c r="B237" s="430"/>
      <c r="C237" s="431"/>
      <c r="D237" s="420" t="s">
        <v>229</v>
      </c>
      <c r="E237" s="28" t="s">
        <v>352</v>
      </c>
      <c r="F237" s="414"/>
      <c r="G237" s="414"/>
      <c r="H237" s="414"/>
      <c r="I237" s="414"/>
      <c r="J237" s="414"/>
      <c r="K237" s="414"/>
      <c r="L237" s="414"/>
      <c r="M237" s="414"/>
      <c r="N237" s="414"/>
      <c r="O237" s="414"/>
      <c r="P237" s="504"/>
      <c r="Q237" s="420"/>
    </row>
    <row r="238" spans="2:17">
      <c r="B238" s="432"/>
      <c r="C238" s="433"/>
      <c r="D238" s="420" t="s">
        <v>146</v>
      </c>
      <c r="E238" s="28" t="s">
        <v>207</v>
      </c>
      <c r="F238" s="424">
        <f>IF(F237="",F236,F237)*F229</f>
        <v>0</v>
      </c>
      <c r="G238" s="424">
        <f t="shared" ref="G238:O238" si="206">IF(G237="",G236,G237)*G229</f>
        <v>0</v>
      </c>
      <c r="H238" s="424">
        <f t="shared" si="206"/>
        <v>0</v>
      </c>
      <c r="I238" s="424">
        <f t="shared" si="206"/>
        <v>0</v>
      </c>
      <c r="J238" s="424">
        <f t="shared" si="206"/>
        <v>0</v>
      </c>
      <c r="K238" s="424">
        <f t="shared" si="206"/>
        <v>0</v>
      </c>
      <c r="L238" s="424">
        <f t="shared" si="206"/>
        <v>0</v>
      </c>
      <c r="M238" s="424">
        <f t="shared" si="206"/>
        <v>0</v>
      </c>
      <c r="N238" s="424">
        <f t="shared" si="206"/>
        <v>0</v>
      </c>
      <c r="O238" s="424">
        <f t="shared" si="206"/>
        <v>0</v>
      </c>
      <c r="P238" s="504"/>
      <c r="Q238" s="420"/>
    </row>
    <row r="239" spans="2:17" ht="22.5">
      <c r="B239" s="446" t="s">
        <v>585</v>
      </c>
      <c r="C239" s="429"/>
      <c r="D239" s="420" t="s">
        <v>311</v>
      </c>
      <c r="E239" s="28" t="s">
        <v>123</v>
      </c>
      <c r="F239" s="412" t="s">
        <v>586</v>
      </c>
      <c r="G239" s="412" t="s">
        <v>586</v>
      </c>
      <c r="H239" s="412" t="s">
        <v>586</v>
      </c>
      <c r="I239" s="412" t="s">
        <v>587</v>
      </c>
      <c r="J239" s="412" t="s">
        <v>587</v>
      </c>
      <c r="K239" s="412" t="s">
        <v>588</v>
      </c>
      <c r="L239" s="412" t="s">
        <v>588</v>
      </c>
      <c r="M239" s="412" t="s">
        <v>587</v>
      </c>
      <c r="N239" s="412" t="s">
        <v>587</v>
      </c>
      <c r="O239" s="412" t="s">
        <v>587</v>
      </c>
      <c r="P239" s="504"/>
      <c r="Q239" s="420"/>
    </row>
    <row r="240" spans="2:17">
      <c r="B240" s="430"/>
      <c r="C240" s="431"/>
      <c r="D240" s="420" t="s">
        <v>322</v>
      </c>
      <c r="E240" s="28" t="s">
        <v>221</v>
      </c>
      <c r="F240" s="385">
        <f>IF(F226="kL",0,F229)</f>
        <v>0</v>
      </c>
      <c r="G240" s="385">
        <f t="shared" ref="G240:O240" si="207">IF(G226="kL",0,G229)</f>
        <v>0</v>
      </c>
      <c r="H240" s="385">
        <f t="shared" si="207"/>
        <v>0</v>
      </c>
      <c r="I240" s="385">
        <f t="shared" si="207"/>
        <v>0</v>
      </c>
      <c r="J240" s="385">
        <f t="shared" si="207"/>
        <v>0</v>
      </c>
      <c r="K240" s="385">
        <f t="shared" si="207"/>
        <v>0</v>
      </c>
      <c r="L240" s="385">
        <f t="shared" si="207"/>
        <v>0</v>
      </c>
      <c r="M240" s="385">
        <f t="shared" si="207"/>
        <v>0</v>
      </c>
      <c r="N240" s="385">
        <f t="shared" si="207"/>
        <v>0</v>
      </c>
      <c r="O240" s="385">
        <f t="shared" si="207"/>
        <v>0</v>
      </c>
      <c r="P240" s="504"/>
      <c r="Q240" s="420"/>
    </row>
    <row r="241" spans="2:17">
      <c r="B241" s="588"/>
      <c r="C241" s="589"/>
      <c r="D241" s="420" t="s">
        <v>227</v>
      </c>
      <c r="E241" s="28" t="s">
        <v>228</v>
      </c>
      <c r="F241" s="342">
        <f t="shared" ref="F241:O241" si="208">_xlfn.XLOOKUP(F239,Waste_levy_names_R,Waste_levy_rates_R)</f>
        <v>97.9</v>
      </c>
      <c r="G241" s="342">
        <f t="shared" si="208"/>
        <v>97.9</v>
      </c>
      <c r="H241" s="342">
        <f t="shared" si="208"/>
        <v>97.9</v>
      </c>
      <c r="I241" s="342">
        <f t="shared" si="208"/>
        <v>0</v>
      </c>
      <c r="J241" s="342">
        <f t="shared" si="208"/>
        <v>0</v>
      </c>
      <c r="K241" s="342">
        <f t="shared" si="208"/>
        <v>170.1</v>
      </c>
      <c r="L241" s="342">
        <f t="shared" si="208"/>
        <v>170.1</v>
      </c>
      <c r="M241" s="342">
        <f t="shared" si="208"/>
        <v>0</v>
      </c>
      <c r="N241" s="342">
        <f t="shared" si="208"/>
        <v>0</v>
      </c>
      <c r="O241" s="342">
        <f t="shared" si="208"/>
        <v>0</v>
      </c>
      <c r="P241" s="504"/>
      <c r="Q241" s="420"/>
    </row>
    <row r="242" spans="2:17">
      <c r="B242" s="588"/>
      <c r="C242" s="589"/>
      <c r="D242" s="420" t="s">
        <v>229</v>
      </c>
      <c r="E242" s="28" t="s">
        <v>228</v>
      </c>
      <c r="F242" s="414"/>
      <c r="G242" s="414"/>
      <c r="H242" s="414"/>
      <c r="I242" s="414"/>
      <c r="J242" s="414"/>
      <c r="K242" s="414"/>
      <c r="L242" s="414"/>
      <c r="M242" s="414"/>
      <c r="N242" s="414"/>
      <c r="O242" s="414"/>
      <c r="P242" s="504"/>
      <c r="Q242" s="420"/>
    </row>
    <row r="243" spans="2:17">
      <c r="B243" s="590"/>
      <c r="C243" s="591"/>
      <c r="D243" s="420" t="s">
        <v>146</v>
      </c>
      <c r="E243" s="28" t="s">
        <v>207</v>
      </c>
      <c r="F243" s="424">
        <f t="shared" ref="F243:O243" si="209">IF(F242="",F241,F242)*F240</f>
        <v>0</v>
      </c>
      <c r="G243" s="424">
        <f t="shared" si="209"/>
        <v>0</v>
      </c>
      <c r="H243" s="424">
        <f t="shared" si="209"/>
        <v>0</v>
      </c>
      <c r="I243" s="424">
        <f t="shared" si="209"/>
        <v>0</v>
      </c>
      <c r="J243" s="424">
        <f t="shared" si="209"/>
        <v>0</v>
      </c>
      <c r="K243" s="424">
        <f t="shared" si="209"/>
        <v>0</v>
      </c>
      <c r="L243" s="424">
        <f t="shared" si="209"/>
        <v>0</v>
      </c>
      <c r="M243" s="424">
        <f t="shared" si="209"/>
        <v>0</v>
      </c>
      <c r="N243" s="424">
        <f t="shared" si="209"/>
        <v>0</v>
      </c>
      <c r="O243" s="424">
        <f t="shared" si="209"/>
        <v>0</v>
      </c>
      <c r="P243" s="504"/>
      <c r="Q243" s="420"/>
    </row>
    <row r="244" spans="2:17" ht="12" thickBot="1">
      <c r="B244" s="592"/>
      <c r="C244" s="551"/>
      <c r="D244" s="552" t="str">
        <f>B224</f>
        <v>Waste Disposal</v>
      </c>
      <c r="E244" s="72"/>
      <c r="F244" s="365">
        <f t="shared" ref="F244:O244" si="210">F235+F238+F243</f>
        <v>0</v>
      </c>
      <c r="G244" s="365">
        <f t="shared" si="210"/>
        <v>0</v>
      </c>
      <c r="H244" s="365">
        <f t="shared" si="210"/>
        <v>0</v>
      </c>
      <c r="I244" s="365">
        <f t="shared" si="210"/>
        <v>0</v>
      </c>
      <c r="J244" s="365">
        <f t="shared" si="210"/>
        <v>0</v>
      </c>
      <c r="K244" s="365">
        <f t="shared" si="210"/>
        <v>0</v>
      </c>
      <c r="L244" s="365">
        <f t="shared" si="210"/>
        <v>0</v>
      </c>
      <c r="M244" s="365">
        <f t="shared" si="210"/>
        <v>0</v>
      </c>
      <c r="N244" s="365">
        <f t="shared" si="210"/>
        <v>0</v>
      </c>
      <c r="O244" s="365">
        <f t="shared" si="210"/>
        <v>0</v>
      </c>
      <c r="P244" s="504"/>
      <c r="Q244" s="420"/>
    </row>
    <row r="245" spans="2:17" ht="12" thickTop="1">
      <c r="B245" s="428" t="s">
        <v>589</v>
      </c>
      <c r="C245" s="376" t="s">
        <v>749</v>
      </c>
      <c r="D245" s="420" t="s">
        <v>591</v>
      </c>
      <c r="E245" s="28" t="s">
        <v>219</v>
      </c>
      <c r="F245" s="455"/>
      <c r="G245" s="455"/>
      <c r="H245" s="455"/>
      <c r="I245" s="455"/>
      <c r="J245" s="455"/>
      <c r="K245" s="455"/>
      <c r="L245" s="455"/>
      <c r="M245" s="455"/>
      <c r="N245" s="455"/>
      <c r="O245" s="455"/>
      <c r="P245" s="504"/>
      <c r="Q245" s="420"/>
    </row>
    <row r="246" spans="2:17">
      <c r="B246" s="588"/>
      <c r="C246" s="578"/>
      <c r="D246" s="420" t="s">
        <v>204</v>
      </c>
      <c r="E246" s="28" t="s">
        <v>352</v>
      </c>
      <c r="F246" s="342">
        <f>IF(F245=0,0,IF(F245&lt;=Biopile_minimum_volume_for_lump_sum_cost,'Cost Schedule'!$D$86,'Cost Schedule'!$D$87))</f>
        <v>0</v>
      </c>
      <c r="G246" s="342">
        <f>IF(G245=0,0,IF(G245&lt;=Biopile_minimum_volume_for_lump_sum_cost,'Cost Schedule'!$D$86,'Cost Schedule'!$D$87))</f>
        <v>0</v>
      </c>
      <c r="H246" s="342">
        <f>IF(H245=0,0,IF(H245&lt;=Biopile_minimum_volume_for_lump_sum_cost,'Cost Schedule'!$D$86,'Cost Schedule'!$D$87))</f>
        <v>0</v>
      </c>
      <c r="I246" s="342">
        <f>IF(I245=0,0,IF(I245&lt;=Biopile_minimum_volume_for_lump_sum_cost,'Cost Schedule'!$D$86,'Cost Schedule'!$D$87))</f>
        <v>0</v>
      </c>
      <c r="J246" s="342">
        <f>IF(J245=0,0,IF(J245&lt;=Biopile_minimum_volume_for_lump_sum_cost,'Cost Schedule'!$D$86,'Cost Schedule'!$D$87))</f>
        <v>0</v>
      </c>
      <c r="K246" s="342">
        <f>IF(K245=0,0,IF(K245&lt;=Biopile_minimum_volume_for_lump_sum_cost,'Cost Schedule'!$D$86,'Cost Schedule'!$D$87))</f>
        <v>0</v>
      </c>
      <c r="L246" s="342">
        <f>IF(L245=0,0,IF(L245&lt;=Biopile_minimum_volume_for_lump_sum_cost,'Cost Schedule'!$D$86,'Cost Schedule'!$D$87))</f>
        <v>0</v>
      </c>
      <c r="M246" s="342">
        <f>IF(M245=0,0,IF(M245&lt;=Biopile_minimum_volume_for_lump_sum_cost,'Cost Schedule'!$D$86,'Cost Schedule'!$D$87))</f>
        <v>0</v>
      </c>
      <c r="N246" s="342">
        <f>IF(N245=0,0,IF(N245&lt;=Biopile_minimum_volume_for_lump_sum_cost,'Cost Schedule'!$D$86,'Cost Schedule'!$D$87))</f>
        <v>0</v>
      </c>
      <c r="O246" s="342">
        <f>IF(O245=0,0,IF(O245&lt;=Biopile_minimum_volume_for_lump_sum_cost,'Cost Schedule'!$D$86,'Cost Schedule'!$D$87))</f>
        <v>0</v>
      </c>
      <c r="P246" s="504"/>
      <c r="Q246" s="420"/>
    </row>
    <row r="247" spans="2:17">
      <c r="B247" s="588"/>
      <c r="C247" s="578"/>
      <c r="D247" s="420" t="s">
        <v>592</v>
      </c>
      <c r="E247" s="28" t="s">
        <v>592</v>
      </c>
      <c r="F247" s="447" t="str">
        <f t="shared" ref="F247:O247" si="211">IF(F245&lt;=Biopile_minimum_volume_for_lump_sum_cost,"$","$/m3")</f>
        <v>$</v>
      </c>
      <c r="G247" s="447" t="str">
        <f t="shared" si="211"/>
        <v>$</v>
      </c>
      <c r="H247" s="447" t="str">
        <f t="shared" si="211"/>
        <v>$</v>
      </c>
      <c r="I247" s="447" t="str">
        <f t="shared" si="211"/>
        <v>$</v>
      </c>
      <c r="J247" s="447" t="str">
        <f t="shared" si="211"/>
        <v>$</v>
      </c>
      <c r="K247" s="447" t="str">
        <f t="shared" si="211"/>
        <v>$</v>
      </c>
      <c r="L247" s="447" t="str">
        <f t="shared" si="211"/>
        <v>$</v>
      </c>
      <c r="M247" s="447" t="str">
        <f t="shared" si="211"/>
        <v>$</v>
      </c>
      <c r="N247" s="447" t="str">
        <f t="shared" si="211"/>
        <v>$</v>
      </c>
      <c r="O247" s="447" t="str">
        <f t="shared" si="211"/>
        <v>$</v>
      </c>
      <c r="P247" s="504"/>
      <c r="Q247" s="420"/>
    </row>
    <row r="248" spans="2:17">
      <c r="B248" s="588"/>
      <c r="C248" s="578"/>
      <c r="D248" s="420" t="s">
        <v>229</v>
      </c>
      <c r="E248" s="28" t="s">
        <v>593</v>
      </c>
      <c r="F248" s="414"/>
      <c r="G248" s="414"/>
      <c r="H248" s="414"/>
      <c r="I248" s="414"/>
      <c r="J248" s="414"/>
      <c r="K248" s="414"/>
      <c r="L248" s="414"/>
      <c r="M248" s="414"/>
      <c r="N248" s="414"/>
      <c r="O248" s="414"/>
      <c r="P248" s="504"/>
      <c r="Q248" s="420"/>
    </row>
    <row r="249" spans="2:17">
      <c r="B249" s="588"/>
      <c r="C249" s="578"/>
      <c r="D249" s="420" t="s">
        <v>146</v>
      </c>
      <c r="E249" s="28" t="s">
        <v>207</v>
      </c>
      <c r="F249" s="448">
        <f t="shared" ref="F249:O249" si="212">IF(AND(F245&lt;=Biopile_minimum_volume_for_lump_sum_cost,F248=""),F246,IF(AND(F245&lt;=Biopile_minimum_volume_for_lump_sum_cost,F248&lt;&gt;""),F248,F245*IF(F248="",F246,F248)))</f>
        <v>0</v>
      </c>
      <c r="G249" s="448">
        <f t="shared" si="212"/>
        <v>0</v>
      </c>
      <c r="H249" s="448">
        <f t="shared" si="212"/>
        <v>0</v>
      </c>
      <c r="I249" s="448">
        <f t="shared" si="212"/>
        <v>0</v>
      </c>
      <c r="J249" s="448">
        <f t="shared" si="212"/>
        <v>0</v>
      </c>
      <c r="K249" s="448">
        <f t="shared" si="212"/>
        <v>0</v>
      </c>
      <c r="L249" s="448">
        <f t="shared" si="212"/>
        <v>0</v>
      </c>
      <c r="M249" s="448">
        <f t="shared" si="212"/>
        <v>0</v>
      </c>
      <c r="N249" s="448">
        <f t="shared" si="212"/>
        <v>0</v>
      </c>
      <c r="O249" s="448">
        <f t="shared" si="212"/>
        <v>0</v>
      </c>
      <c r="P249" s="504"/>
      <c r="Q249" s="420"/>
    </row>
    <row r="250" spans="2:17" ht="33.75">
      <c r="B250" s="588"/>
      <c r="C250" s="593" t="s">
        <v>594</v>
      </c>
      <c r="D250" s="420" t="s">
        <v>311</v>
      </c>
      <c r="E250" s="28" t="s">
        <v>123</v>
      </c>
      <c r="F250" s="412" t="s">
        <v>596</v>
      </c>
      <c r="G250" s="412" t="s">
        <v>596</v>
      </c>
      <c r="H250" s="412" t="s">
        <v>595</v>
      </c>
      <c r="I250" s="412" t="s">
        <v>595</v>
      </c>
      <c r="J250" s="412" t="s">
        <v>595</v>
      </c>
      <c r="K250" s="412" t="s">
        <v>595</v>
      </c>
      <c r="L250" s="412" t="s">
        <v>595</v>
      </c>
      <c r="M250" s="412" t="s">
        <v>595</v>
      </c>
      <c r="N250" s="412" t="s">
        <v>595</v>
      </c>
      <c r="O250" s="412" t="s">
        <v>595</v>
      </c>
      <c r="P250" s="504"/>
      <c r="Q250" s="420"/>
    </row>
    <row r="251" spans="2:17">
      <c r="B251" s="588"/>
      <c r="C251" s="578"/>
      <c r="D251" s="420" t="s">
        <v>355</v>
      </c>
      <c r="F251" s="455"/>
      <c r="G251" s="455"/>
      <c r="H251" s="455"/>
      <c r="I251" s="455"/>
      <c r="J251" s="455"/>
      <c r="K251" s="455"/>
      <c r="L251" s="455"/>
      <c r="M251" s="455"/>
      <c r="N251" s="455"/>
      <c r="O251" s="455"/>
      <c r="P251" s="504"/>
      <c r="Q251" s="420"/>
    </row>
    <row r="252" spans="2:17">
      <c r="B252" s="588"/>
      <c r="C252" s="578"/>
      <c r="D252" s="420" t="s">
        <v>353</v>
      </c>
      <c r="F252" s="385" t="str">
        <f t="shared" ref="F252:O252" si="213">_xlfn.XLOOKUP(F250,Contaminated_soil_names_CS,Contaminated_soil_units_CS)</f>
        <v>t</v>
      </c>
      <c r="G252" s="385" t="str">
        <f t="shared" si="213"/>
        <v>t</v>
      </c>
      <c r="H252" s="385" t="str">
        <f t="shared" si="213"/>
        <v>m3</v>
      </c>
      <c r="I252" s="385" t="str">
        <f t="shared" si="213"/>
        <v>m3</v>
      </c>
      <c r="J252" s="385" t="str">
        <f t="shared" si="213"/>
        <v>m3</v>
      </c>
      <c r="K252" s="385" t="str">
        <f t="shared" si="213"/>
        <v>m3</v>
      </c>
      <c r="L252" s="385" t="str">
        <f t="shared" si="213"/>
        <v>m3</v>
      </c>
      <c r="M252" s="385" t="str">
        <f t="shared" si="213"/>
        <v>m3</v>
      </c>
      <c r="N252" s="385" t="str">
        <f t="shared" si="213"/>
        <v>m3</v>
      </c>
      <c r="O252" s="385" t="str">
        <f t="shared" si="213"/>
        <v>m3</v>
      </c>
      <c r="P252" s="504"/>
      <c r="Q252" s="420"/>
    </row>
    <row r="253" spans="2:17">
      <c r="B253" s="588"/>
      <c r="C253" s="578"/>
      <c r="D253" s="420" t="s">
        <v>227</v>
      </c>
      <c r="E253" s="28" t="s">
        <v>352</v>
      </c>
      <c r="F253" s="342">
        <f t="shared" ref="F253:O253" si="214">_xlfn.XLOOKUP(F250,Contaminated_soil_names_CS,Contaminated_soil_rates_CS)</f>
        <v>400</v>
      </c>
      <c r="G253" s="342">
        <f t="shared" si="214"/>
        <v>400</v>
      </c>
      <c r="H253" s="342">
        <f t="shared" si="214"/>
        <v>34.320540423513727</v>
      </c>
      <c r="I253" s="342">
        <f t="shared" si="214"/>
        <v>34.320540423513727</v>
      </c>
      <c r="J253" s="342">
        <f t="shared" si="214"/>
        <v>34.320540423513727</v>
      </c>
      <c r="K253" s="342">
        <f t="shared" si="214"/>
        <v>34.320540423513727</v>
      </c>
      <c r="L253" s="342">
        <f t="shared" si="214"/>
        <v>34.320540423513727</v>
      </c>
      <c r="M253" s="342">
        <f t="shared" si="214"/>
        <v>34.320540423513727</v>
      </c>
      <c r="N253" s="342">
        <f t="shared" si="214"/>
        <v>34.320540423513727</v>
      </c>
      <c r="O253" s="342">
        <f t="shared" si="214"/>
        <v>34.320540423513727</v>
      </c>
      <c r="P253" s="504"/>
      <c r="Q253" s="420"/>
    </row>
    <row r="254" spans="2:17">
      <c r="B254" s="588"/>
      <c r="C254" s="578"/>
      <c r="D254" s="420" t="s">
        <v>229</v>
      </c>
      <c r="E254" s="28" t="s">
        <v>352</v>
      </c>
      <c r="F254" s="414"/>
      <c r="G254" s="414"/>
      <c r="H254" s="414"/>
      <c r="I254" s="414"/>
      <c r="J254" s="414"/>
      <c r="K254" s="414"/>
      <c r="L254" s="414"/>
      <c r="M254" s="414"/>
      <c r="N254" s="414"/>
      <c r="O254" s="414"/>
      <c r="P254" s="504"/>
      <c r="Q254" s="420"/>
    </row>
    <row r="255" spans="2:17">
      <c r="B255" s="590"/>
      <c r="C255" s="580"/>
      <c r="D255" s="420" t="s">
        <v>146</v>
      </c>
      <c r="E255" s="28" t="s">
        <v>207</v>
      </c>
      <c r="F255" s="424">
        <f t="shared" ref="F255:O255" si="215">IF(F254="",F253,F254)*F251</f>
        <v>0</v>
      </c>
      <c r="G255" s="424">
        <f t="shared" si="215"/>
        <v>0</v>
      </c>
      <c r="H255" s="424">
        <f t="shared" si="215"/>
        <v>0</v>
      </c>
      <c r="I255" s="424">
        <f t="shared" si="215"/>
        <v>0</v>
      </c>
      <c r="J255" s="424">
        <f t="shared" si="215"/>
        <v>0</v>
      </c>
      <c r="K255" s="424">
        <f t="shared" si="215"/>
        <v>0</v>
      </c>
      <c r="L255" s="424">
        <f t="shared" si="215"/>
        <v>0</v>
      </c>
      <c r="M255" s="424">
        <f t="shared" si="215"/>
        <v>0</v>
      </c>
      <c r="N255" s="424">
        <f t="shared" si="215"/>
        <v>0</v>
      </c>
      <c r="O255" s="424">
        <f t="shared" si="215"/>
        <v>0</v>
      </c>
      <c r="P255" s="504"/>
      <c r="Q255" s="420"/>
    </row>
    <row r="256" spans="2:17" ht="12" thickBot="1">
      <c r="B256" s="550"/>
      <c r="C256" s="551"/>
      <c r="D256" s="552" t="str">
        <f>B245</f>
        <v>Contaminated soil treat on-site</v>
      </c>
      <c r="E256" s="72"/>
      <c r="F256" s="365">
        <f t="shared" ref="F256:O256" si="216">F249+F255</f>
        <v>0</v>
      </c>
      <c r="G256" s="365">
        <f t="shared" si="216"/>
        <v>0</v>
      </c>
      <c r="H256" s="365">
        <f t="shared" si="216"/>
        <v>0</v>
      </c>
      <c r="I256" s="365">
        <f t="shared" si="216"/>
        <v>0</v>
      </c>
      <c r="J256" s="365">
        <f t="shared" si="216"/>
        <v>0</v>
      </c>
      <c r="K256" s="365">
        <f t="shared" si="216"/>
        <v>0</v>
      </c>
      <c r="L256" s="365">
        <f t="shared" si="216"/>
        <v>0</v>
      </c>
      <c r="M256" s="365">
        <f t="shared" si="216"/>
        <v>0</v>
      </c>
      <c r="N256" s="365">
        <f t="shared" si="216"/>
        <v>0</v>
      </c>
      <c r="O256" s="365">
        <f t="shared" si="216"/>
        <v>0</v>
      </c>
      <c r="P256" s="504"/>
      <c r="Q256" s="420"/>
    </row>
    <row r="257" spans="2:17" ht="12" thickTop="1">
      <c r="B257" s="569"/>
      <c r="C257" s="603"/>
      <c r="D257" s="420" t="s">
        <v>146</v>
      </c>
      <c r="E257" s="28" t="s">
        <v>207</v>
      </c>
      <c r="F257" s="468"/>
      <c r="G257" s="468">
        <v>0</v>
      </c>
      <c r="H257" s="468">
        <v>0</v>
      </c>
      <c r="I257" s="468">
        <v>0</v>
      </c>
      <c r="J257" s="468">
        <v>0</v>
      </c>
      <c r="K257" s="468">
        <v>0</v>
      </c>
      <c r="L257" s="468">
        <v>0</v>
      </c>
      <c r="M257" s="468">
        <v>0</v>
      </c>
      <c r="N257" s="468">
        <v>0</v>
      </c>
      <c r="O257" s="468">
        <v>0</v>
      </c>
      <c r="P257" s="504"/>
      <c r="Q257" s="420"/>
    </row>
    <row r="258" spans="2:17">
      <c r="B258" s="569"/>
      <c r="C258" s="603"/>
      <c r="D258" s="420" t="s">
        <v>146</v>
      </c>
      <c r="E258" s="28" t="s">
        <v>207</v>
      </c>
      <c r="F258" s="468">
        <v>0</v>
      </c>
      <c r="G258" s="468">
        <v>0</v>
      </c>
      <c r="H258" s="468">
        <v>0</v>
      </c>
      <c r="I258" s="468">
        <v>0</v>
      </c>
      <c r="J258" s="468">
        <v>0</v>
      </c>
      <c r="K258" s="468">
        <v>0</v>
      </c>
      <c r="L258" s="468">
        <v>0</v>
      </c>
      <c r="M258" s="468">
        <v>0</v>
      </c>
      <c r="N258" s="468">
        <v>0</v>
      </c>
      <c r="O258" s="468">
        <v>0</v>
      </c>
      <c r="P258" s="504"/>
      <c r="Q258" s="420"/>
    </row>
    <row r="259" spans="2:17">
      <c r="B259" s="569"/>
      <c r="C259" s="603"/>
      <c r="D259" s="420" t="s">
        <v>146</v>
      </c>
      <c r="E259" s="28" t="s">
        <v>207</v>
      </c>
      <c r="F259" s="468">
        <v>0</v>
      </c>
      <c r="G259" s="468">
        <v>0</v>
      </c>
      <c r="H259" s="468">
        <v>0</v>
      </c>
      <c r="I259" s="468">
        <v>0</v>
      </c>
      <c r="J259" s="468">
        <v>0</v>
      </c>
      <c r="K259" s="468">
        <v>0</v>
      </c>
      <c r="L259" s="468">
        <v>0</v>
      </c>
      <c r="M259" s="468">
        <v>0</v>
      </c>
      <c r="N259" s="468">
        <v>0</v>
      </c>
      <c r="O259" s="468">
        <v>0</v>
      </c>
      <c r="P259" s="504"/>
      <c r="Q259" s="420"/>
    </row>
    <row r="260" spans="2:17">
      <c r="B260" s="569"/>
      <c r="C260" s="603"/>
      <c r="D260" s="420" t="s">
        <v>146</v>
      </c>
      <c r="E260" s="28" t="s">
        <v>207</v>
      </c>
      <c r="F260" s="468">
        <v>0</v>
      </c>
      <c r="G260" s="468">
        <v>0</v>
      </c>
      <c r="H260" s="468">
        <v>0</v>
      </c>
      <c r="I260" s="468">
        <v>0</v>
      </c>
      <c r="J260" s="468">
        <v>0</v>
      </c>
      <c r="K260" s="468">
        <v>0</v>
      </c>
      <c r="L260" s="468">
        <v>0</v>
      </c>
      <c r="M260" s="468">
        <v>0</v>
      </c>
      <c r="N260" s="468">
        <v>0</v>
      </c>
      <c r="O260" s="468">
        <v>0</v>
      </c>
      <c r="P260" s="504"/>
      <c r="Q260" s="420"/>
    </row>
    <row r="261" spans="2:17">
      <c r="B261" s="569"/>
      <c r="C261" s="603"/>
      <c r="D261" s="420" t="s">
        <v>146</v>
      </c>
      <c r="E261" s="28" t="s">
        <v>207</v>
      </c>
      <c r="F261" s="468">
        <v>0</v>
      </c>
      <c r="G261" s="468">
        <v>0</v>
      </c>
      <c r="H261" s="468">
        <v>0</v>
      </c>
      <c r="I261" s="468">
        <v>0</v>
      </c>
      <c r="J261" s="468">
        <v>0</v>
      </c>
      <c r="K261" s="468">
        <v>0</v>
      </c>
      <c r="L261" s="468">
        <v>0</v>
      </c>
      <c r="M261" s="468">
        <v>0</v>
      </c>
      <c r="N261" s="468">
        <v>0</v>
      </c>
      <c r="O261" s="468">
        <v>0</v>
      </c>
      <c r="P261" s="504"/>
      <c r="Q261" s="420"/>
    </row>
    <row r="262" spans="2:17" ht="12" thickBot="1">
      <c r="B262" s="550"/>
      <c r="C262" s="551"/>
      <c r="D262" s="552" t="s">
        <v>1095</v>
      </c>
      <c r="E262" s="72"/>
      <c r="F262" s="365">
        <f>SUM(F257:F261)</f>
        <v>0</v>
      </c>
      <c r="G262" s="365">
        <f t="shared" ref="G262:H262" si="217">SUM(G257:G261)</f>
        <v>0</v>
      </c>
      <c r="H262" s="365">
        <f t="shared" si="217"/>
        <v>0</v>
      </c>
      <c r="I262" s="365">
        <f t="shared" ref="I262:O262" si="218">SUM(I257:I261)</f>
        <v>0</v>
      </c>
      <c r="J262" s="365">
        <f t="shared" si="218"/>
        <v>0</v>
      </c>
      <c r="K262" s="365">
        <f t="shared" si="218"/>
        <v>0</v>
      </c>
      <c r="L262" s="365">
        <f t="shared" si="218"/>
        <v>0</v>
      </c>
      <c r="M262" s="365">
        <f t="shared" si="218"/>
        <v>0</v>
      </c>
      <c r="N262" s="365">
        <f t="shared" si="218"/>
        <v>0</v>
      </c>
      <c r="O262" s="365">
        <f t="shared" si="218"/>
        <v>0</v>
      </c>
      <c r="P262" s="504"/>
      <c r="Q262" s="420"/>
    </row>
  </sheetData>
  <sheetProtection algorithmName="SHA-512" hashValue="EOfXrIIT27v5wpc9lkQLu3mfGJmRR0jkkRW7XPLruske7yBs9q9qpQjVv856r52j28uSWehSid5bIyQuDWB/3A==" saltValue="ziy9TrgTgwyLj+z8gRAGOQ==" spinCount="100000" sheet="1" objects="1" scenarios="1" autoFilter="0"/>
  <phoneticPr fontId="53" type="noConversion"/>
  <conditionalFormatting sqref="F76:N76">
    <cfRule type="notContainsBlanks" dxfId="98" priority="34">
      <formula>LEN(TRIM(F76))&gt;0</formula>
    </cfRule>
  </conditionalFormatting>
  <conditionalFormatting sqref="F80:N80">
    <cfRule type="notContainsBlanks" dxfId="97" priority="33">
      <formula>LEN(TRIM(F80))&gt;0</formula>
    </cfRule>
  </conditionalFormatting>
  <conditionalFormatting sqref="F19:O19">
    <cfRule type="notContainsBlanks" dxfId="96" priority="44">
      <formula>LEN(TRIM(F19))&gt;0</formula>
    </cfRule>
  </conditionalFormatting>
  <conditionalFormatting sqref="F25:O25">
    <cfRule type="notContainsBlanks" dxfId="95" priority="42">
      <formula>LEN(TRIM(F25))&gt;0</formula>
    </cfRule>
  </conditionalFormatting>
  <conditionalFormatting sqref="F27:O27">
    <cfRule type="notContainsBlanks" dxfId="94" priority="43">
      <formula>LEN(TRIM(F27))&gt;0</formula>
    </cfRule>
  </conditionalFormatting>
  <conditionalFormatting sqref="F29:O29">
    <cfRule type="notContainsBlanks" dxfId="93" priority="41">
      <formula>LEN(TRIM(F29))&gt;0</formula>
    </cfRule>
  </conditionalFormatting>
  <conditionalFormatting sqref="F37:O37">
    <cfRule type="notContainsBlanks" dxfId="92" priority="40">
      <formula>LEN(TRIM(F37))&gt;0</formula>
    </cfRule>
  </conditionalFormatting>
  <conditionalFormatting sqref="F43:O43">
    <cfRule type="notContainsBlanks" dxfId="91" priority="39">
      <formula>LEN(TRIM(F43))&gt;0</formula>
    </cfRule>
  </conditionalFormatting>
  <conditionalFormatting sqref="F48:O48">
    <cfRule type="notContainsBlanks" dxfId="90" priority="38">
      <formula>LEN(TRIM(F48))&gt;0</formula>
    </cfRule>
  </conditionalFormatting>
  <conditionalFormatting sqref="F54:O54">
    <cfRule type="notContainsBlanks" dxfId="89" priority="37">
      <formula>LEN(TRIM(F54))&gt;0</formula>
    </cfRule>
  </conditionalFormatting>
  <conditionalFormatting sqref="F59:O59">
    <cfRule type="notContainsBlanks" dxfId="88" priority="36">
      <formula>LEN(TRIM(F59))&gt;0</formula>
    </cfRule>
  </conditionalFormatting>
  <conditionalFormatting sqref="F64:O64">
    <cfRule type="notContainsBlanks" dxfId="87" priority="35">
      <formula>LEN(TRIM(F64))&gt;0</formula>
    </cfRule>
  </conditionalFormatting>
  <conditionalFormatting sqref="F83:O83">
    <cfRule type="notContainsBlanks" dxfId="86" priority="32">
      <formula>LEN(TRIM(F83))&gt;0</formula>
    </cfRule>
  </conditionalFormatting>
  <conditionalFormatting sqref="F87:O87">
    <cfRule type="notContainsBlanks" dxfId="85" priority="31">
      <formula>LEN(TRIM(F87))&gt;0</formula>
    </cfRule>
  </conditionalFormatting>
  <conditionalFormatting sqref="F100:O100">
    <cfRule type="notContainsBlanks" dxfId="84" priority="30">
      <formula>LEN(TRIM(F100))&gt;0</formula>
    </cfRule>
  </conditionalFormatting>
  <conditionalFormatting sqref="F104:O104">
    <cfRule type="notContainsBlanks" dxfId="83" priority="29">
      <formula>LEN(TRIM(F104))&gt;0</formula>
    </cfRule>
  </conditionalFormatting>
  <conditionalFormatting sqref="F108:O108">
    <cfRule type="notContainsBlanks" dxfId="82" priority="28">
      <formula>LEN(TRIM(F108))&gt;0</formula>
    </cfRule>
  </conditionalFormatting>
  <conditionalFormatting sqref="F112:O112">
    <cfRule type="notContainsBlanks" dxfId="81" priority="27">
      <formula>LEN(TRIM(F112))&gt;0</formula>
    </cfRule>
  </conditionalFormatting>
  <conditionalFormatting sqref="F118:O118">
    <cfRule type="notContainsBlanks" dxfId="80" priority="26">
      <formula>LEN(TRIM(F118))&gt;0</formula>
    </cfRule>
  </conditionalFormatting>
  <conditionalFormatting sqref="F122:O122">
    <cfRule type="notContainsBlanks" dxfId="79" priority="25">
      <formula>LEN(TRIM(F122))&gt;0</formula>
    </cfRule>
  </conditionalFormatting>
  <conditionalFormatting sqref="F145:O145">
    <cfRule type="notContainsBlanks" dxfId="78" priority="24">
      <formula>LEN(TRIM(F145))&gt;0</formula>
    </cfRule>
  </conditionalFormatting>
  <conditionalFormatting sqref="F166:O166">
    <cfRule type="notContainsBlanks" dxfId="77" priority="23">
      <formula>LEN(TRIM(F166))&gt;0</formula>
    </cfRule>
  </conditionalFormatting>
  <conditionalFormatting sqref="F170:O170">
    <cfRule type="notContainsBlanks" dxfId="76" priority="22">
      <formula>LEN(TRIM(F170))&gt;0</formula>
    </cfRule>
  </conditionalFormatting>
  <conditionalFormatting sqref="F173:O173">
    <cfRule type="notContainsBlanks" dxfId="75" priority="21">
      <formula>LEN(TRIM(F173))&gt;0</formula>
    </cfRule>
  </conditionalFormatting>
  <conditionalFormatting sqref="F193:O193">
    <cfRule type="notContainsBlanks" dxfId="74" priority="6">
      <formula>LEN(TRIM(F193))&gt;0</formula>
    </cfRule>
  </conditionalFormatting>
  <conditionalFormatting sqref="F199:O199">
    <cfRule type="notContainsBlanks" dxfId="73" priority="5">
      <formula>LEN(TRIM(F199))&gt;0</formula>
    </cfRule>
  </conditionalFormatting>
  <conditionalFormatting sqref="F203:O203">
    <cfRule type="notContainsBlanks" dxfId="72" priority="4">
      <formula>LEN(TRIM(F203))&gt;0</formula>
    </cfRule>
  </conditionalFormatting>
  <conditionalFormatting sqref="F207:O207">
    <cfRule type="notContainsBlanks" dxfId="71" priority="3">
      <formula>LEN(TRIM(F207))&gt;0</formula>
    </cfRule>
  </conditionalFormatting>
  <conditionalFormatting sqref="F211:O211">
    <cfRule type="notContainsBlanks" dxfId="70" priority="2">
      <formula>LEN(TRIM(F211))&gt;0</formula>
    </cfRule>
  </conditionalFormatting>
  <conditionalFormatting sqref="F215:O215">
    <cfRule type="notContainsBlanks" dxfId="69" priority="1">
      <formula>LEN(TRIM(F215))&gt;0</formula>
    </cfRule>
  </conditionalFormatting>
  <conditionalFormatting sqref="F221:O221">
    <cfRule type="notContainsBlanks" dxfId="68" priority="12">
      <formula>LEN(TRIM(F221))&gt;0</formula>
    </cfRule>
  </conditionalFormatting>
  <conditionalFormatting sqref="F234:O234">
    <cfRule type="notContainsBlanks" dxfId="67" priority="11">
      <formula>LEN(TRIM(F234))&gt;0</formula>
    </cfRule>
  </conditionalFormatting>
  <conditionalFormatting sqref="F237:O237">
    <cfRule type="notContainsBlanks" dxfId="66" priority="10">
      <formula>LEN(TRIM(F237))&gt;0</formula>
    </cfRule>
  </conditionalFormatting>
  <conditionalFormatting sqref="F242:O242">
    <cfRule type="notContainsBlanks" dxfId="65" priority="9">
      <formula>LEN(TRIM(F242))&gt;0</formula>
    </cfRule>
  </conditionalFormatting>
  <conditionalFormatting sqref="F248:O248">
    <cfRule type="notContainsBlanks" dxfId="64" priority="8">
      <formula>LEN(TRIM(F248))&gt;0</formula>
    </cfRule>
  </conditionalFormatting>
  <conditionalFormatting sqref="F254:O254">
    <cfRule type="notContainsBlanks" dxfId="63" priority="7">
      <formula>LEN(TRIM(F254))&gt;0</formula>
    </cfRule>
  </conditionalFormatting>
  <dataValidations count="19">
    <dataValidation type="list" allowBlank="1" showInputMessage="1" showErrorMessage="1" sqref="F17:O17" xr:uid="{0A7B55BB-A11A-4943-82EB-0568CA318556}">
      <formula1>Safety_bund_method</formula1>
    </dataValidation>
    <dataValidation type="list" allowBlank="1" showInputMessage="1" showErrorMessage="1" sqref="F162:O162" xr:uid="{0756FD12-AE5C-41D5-B780-7C6D03EC2985}">
      <formula1>Ameliorants_soil_L</formula1>
    </dataValidation>
    <dataValidation type="list" allowBlank="1" showInputMessage="1" showErrorMessage="1" sqref="F106:O106 F62:O62 F74:O74 F102:O102" xr:uid="{EB22890A-2526-4593-B26B-F7FB35ED02DD}">
      <formula1>Load_haul_fill_names_CS</formula1>
    </dataValidation>
    <dataValidation type="list" allowBlank="1" showInputMessage="1" showErrorMessage="1" sqref="F52:O52 F98:O98 F85:O85 F110:O110 F41:O41" xr:uid="{6108316E-4DB7-4A63-98CB-50AAD158BD44}">
      <formula1>Dozer_push_names_CS</formula1>
    </dataValidation>
    <dataValidation type="list" allowBlank="1" showInputMessage="1" showErrorMessage="1" sqref="F230:O230 F78:O78 F168:O168" xr:uid="{116CDBD9-32E6-4BC5-AFC1-BBF66FAFE8A1}">
      <formula1>Long_haul_soil_amend_names_volume_CS</formula1>
    </dataValidation>
    <dataValidation type="list" allowBlank="1" showInputMessage="1" showErrorMessage="1" sqref="F57:O57 F46:O46" xr:uid="{F11873C7-83A0-47C7-9563-00DD81FC9CE4}">
      <formula1>Dozer_shape_doze_for_drainage_names_CS</formula1>
    </dataValidation>
    <dataValidation type="list" allowBlank="1" showInputMessage="1" showErrorMessage="1" sqref="F213:O213" xr:uid="{6BC92F8C-4BD4-4DAE-8E5B-F8240CA79674}">
      <formula1>Plant_and_seed_apply_water_names_CS</formula1>
    </dataValidation>
    <dataValidation type="list" allowBlank="1" showInputMessage="1" showErrorMessage="1" sqref="F209:O209" xr:uid="{B3B4977A-3C03-4E00-A119-7FC46876BB25}">
      <formula1>Plant_and_seed_buy_water_names_CS</formula1>
    </dataValidation>
    <dataValidation type="list" allowBlank="1" showInputMessage="1" showErrorMessage="1" sqref="F205:O205" xr:uid="{64E88825-B119-4ECA-903A-315DACA0A4A1}">
      <formula1>Plant_and_seed_apply_fertiliser_names_CS</formula1>
    </dataValidation>
    <dataValidation type="list" allowBlank="1" showInputMessage="1" showErrorMessage="1" sqref="F201:O201" xr:uid="{2B0C256C-159C-4908-8470-EDD8BC9D0DC3}">
      <formula1>Plant_and_seed_fertiliser_buy_names_CS</formula1>
    </dataValidation>
    <dataValidation type="list" allowBlank="1" showInputMessage="1" showErrorMessage="1" sqref="F197:O197" xr:uid="{536B2ADB-A06B-4702-998B-9B9267561382}">
      <formula1>Plant_and_seed_apply_plant_names_CS</formula1>
    </dataValidation>
    <dataValidation type="list" allowBlank="1" showInputMessage="1" showErrorMessage="1" sqref="F190:O190" xr:uid="{7C1D2F3E-99F9-48C3-9EE6-E30B70370189}">
      <formula1>Plant_and_seed_list_L</formula1>
    </dataValidation>
    <dataValidation type="list" allowBlank="1" showInputMessage="1" showErrorMessage="1" sqref="F239:O239" xr:uid="{D4BC7988-A52A-4CF0-A88B-F1EB69B96D8C}">
      <formula1>Waste_levy_names_R</formula1>
    </dataValidation>
    <dataValidation type="list" allowBlank="1" showInputMessage="1" showErrorMessage="1" sqref="F250:O250" xr:uid="{0ED94611-166A-43BE-AC5E-987C9524592C}">
      <formula1>Contaminated_soil_names_CS</formula1>
    </dataValidation>
    <dataValidation type="list" allowBlank="1" showInputMessage="1" showErrorMessage="1" sqref="F116:O116" xr:uid="{16C887A3-09F4-43C5-B171-1FA54E6735C0}">
      <formula1>Drains_names_CS</formula1>
    </dataValidation>
    <dataValidation type="list" allowBlank="1" showInputMessage="1" showErrorMessage="1" sqref="F70:O70" xr:uid="{16BFE549-46EE-4FF9-8E6B-0BE26E84E96F}">
      <formula1>Pits_backfill_source_L</formula1>
    </dataValidation>
    <dataValidation type="list" allowBlank="1" showInputMessage="1" showErrorMessage="1" sqref="F224:O224" xr:uid="{E41666F9-6FDE-48E6-B14B-2882CD0D8AA2}">
      <formula1>Waste_names_L</formula1>
    </dataValidation>
    <dataValidation type="list" allowBlank="1" showInputMessage="1" showErrorMessage="1" sqref="F143:O143" xr:uid="{3D3D00C7-2A95-4399-800B-706703BBEB52}">
      <formula1>Load_haul_soil_names_CS</formula1>
    </dataValidation>
    <dataValidation type="list" allowBlank="1" showInputMessage="1" showErrorMessage="1" sqref="F218:O218" xr:uid="{24C2F538-9501-4E74-B5AB-049F4821CAED}">
      <formula1>Maintenance_rehab_areas_names_CS</formula1>
    </dataValidation>
  </dataValidations>
  <hyperlinks>
    <hyperlink ref="D6" location="RCE_Summary" display="RCE Summary" xr:uid="{5AAF6A94-35B1-4FDD-8D46-DA9768711B0C}"/>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21677-2C32-4E2B-8C91-945719210319}">
  <sheetPr codeName="Sheet12">
    <tabColor theme="9" tint="-0.249977111117893"/>
  </sheetPr>
  <dimension ref="B2:S103"/>
  <sheetViews>
    <sheetView showGridLines="0" zoomScaleNormal="100" workbookViewId="0">
      <pane xSplit="5" ySplit="8" topLeftCell="F9" activePane="bottomRight" state="frozen"/>
      <selection pane="topRight" activeCell="H1" sqref="H1"/>
      <selection pane="bottomLeft" activeCell="A10" sqref="A10"/>
      <selection pane="bottomRight"/>
    </sheetView>
  </sheetViews>
  <sheetFormatPr defaultColWidth="8.7109375" defaultRowHeight="11.25"/>
  <cols>
    <col min="1" max="1" width="4.5703125" style="28" customWidth="1"/>
    <col min="2" max="2" width="27.28515625" style="28" customWidth="1"/>
    <col min="3" max="3" width="40.140625" style="28" customWidth="1"/>
    <col min="4" max="4" width="28.140625" style="28" customWidth="1"/>
    <col min="5" max="5" width="9.7109375" style="28" customWidth="1"/>
    <col min="6" max="17" width="13.28515625" style="3" customWidth="1"/>
    <col min="18" max="18" width="53.5703125" style="28" customWidth="1"/>
    <col min="19" max="19" width="51.5703125" style="28" customWidth="1"/>
    <col min="20" max="20" width="34.5703125" style="28" customWidth="1"/>
    <col min="21" max="21" width="36.7109375" style="28" customWidth="1"/>
    <col min="22" max="16384" width="8.7109375" style="28"/>
  </cols>
  <sheetData>
    <row r="2" spans="2:19" ht="24.95" customHeight="1">
      <c r="B2" s="317" t="str">
        <f>Name_main</f>
        <v>Rehabilitation Cost Estimate Tool - Mining New South Wales</v>
      </c>
      <c r="F2" s="28"/>
      <c r="G2" s="28"/>
      <c r="H2" s="28"/>
      <c r="I2" s="28"/>
      <c r="J2" s="28"/>
      <c r="K2" s="28"/>
      <c r="L2" s="28"/>
      <c r="M2" s="28"/>
      <c r="N2" s="28"/>
      <c r="O2" s="28"/>
      <c r="P2" s="28"/>
      <c r="Q2" s="28"/>
    </row>
    <row r="3" spans="2:19" ht="15" customHeight="1">
      <c r="B3" s="318" t="str">
        <f>CONCATENATE(CompanyName," - ",Mine_Name)</f>
        <v>Boral Cement - Marulan South Limestone Mine</v>
      </c>
      <c r="F3" s="28"/>
      <c r="G3" s="28"/>
      <c r="H3" s="28"/>
      <c r="I3" s="28"/>
      <c r="J3" s="28"/>
      <c r="K3" s="28"/>
      <c r="L3" s="28"/>
      <c r="M3" s="28"/>
      <c r="N3" s="28"/>
      <c r="O3" s="28"/>
      <c r="P3" s="28"/>
      <c r="Q3" s="28"/>
    </row>
    <row r="4" spans="2:19" ht="15" customHeight="1" thickBot="1">
      <c r="B4" s="319" t="s">
        <v>182</v>
      </c>
      <c r="C4" s="320">
        <f>Grand_total</f>
        <v>27655414.430474937</v>
      </c>
      <c r="F4" s="28"/>
      <c r="G4" s="28"/>
      <c r="H4" s="28"/>
      <c r="I4" s="28"/>
      <c r="J4" s="28"/>
      <c r="K4" s="28"/>
      <c r="L4" s="28"/>
      <c r="M4" s="28"/>
      <c r="N4" s="28"/>
      <c r="O4" s="28"/>
      <c r="P4" s="28"/>
      <c r="Q4" s="28"/>
    </row>
    <row r="5" spans="2:19" ht="15" customHeight="1" thickTop="1">
      <c r="B5" s="318"/>
      <c r="F5" s="28"/>
      <c r="G5" s="28"/>
      <c r="H5" s="28"/>
      <c r="I5" s="28"/>
      <c r="J5" s="28"/>
      <c r="K5" s="28"/>
      <c r="L5" s="28"/>
      <c r="M5" s="28"/>
      <c r="N5" s="28"/>
      <c r="O5" s="28"/>
      <c r="P5" s="28"/>
      <c r="Q5" s="28"/>
    </row>
    <row r="6" spans="2:19" ht="15.95" customHeight="1" thickBot="1">
      <c r="B6" s="321" t="s">
        <v>1096</v>
      </c>
      <c r="C6" s="322">
        <f>SUM(F6:I6)</f>
        <v>0</v>
      </c>
      <c r="D6" s="393" t="s">
        <v>1</v>
      </c>
      <c r="E6" s="323" t="s">
        <v>184</v>
      </c>
      <c r="F6" s="324">
        <f t="shared" ref="F6:Q6" si="0">F17+F22+F32+F49+F57+F63+F84+F96+F102</f>
        <v>0</v>
      </c>
      <c r="G6" s="324">
        <f t="shared" si="0"/>
        <v>0</v>
      </c>
      <c r="H6" s="324">
        <f t="shared" si="0"/>
        <v>0</v>
      </c>
      <c r="I6" s="324">
        <f t="shared" si="0"/>
        <v>0</v>
      </c>
      <c r="J6" s="324">
        <f t="shared" si="0"/>
        <v>0</v>
      </c>
      <c r="K6" s="324">
        <f t="shared" si="0"/>
        <v>0</v>
      </c>
      <c r="L6" s="324">
        <f t="shared" si="0"/>
        <v>0</v>
      </c>
      <c r="M6" s="324">
        <f t="shared" si="0"/>
        <v>0</v>
      </c>
      <c r="N6" s="324">
        <f t="shared" si="0"/>
        <v>0</v>
      </c>
      <c r="O6" s="324">
        <f t="shared" si="0"/>
        <v>0</v>
      </c>
      <c r="P6" s="324">
        <f t="shared" si="0"/>
        <v>0</v>
      </c>
      <c r="Q6" s="324">
        <f t="shared" si="0"/>
        <v>0</v>
      </c>
    </row>
    <row r="7" spans="2:19" ht="15.95" customHeight="1" thickTop="1"/>
    <row r="8" spans="2:19" ht="12" thickBot="1">
      <c r="B8" s="538" t="s">
        <v>185</v>
      </c>
      <c r="C8" s="539" t="s">
        <v>186</v>
      </c>
      <c r="D8" s="539" t="s">
        <v>187</v>
      </c>
      <c r="E8" s="116" t="s">
        <v>1032</v>
      </c>
      <c r="F8" s="501" t="s">
        <v>1097</v>
      </c>
      <c r="G8" s="501" t="s">
        <v>1098</v>
      </c>
      <c r="H8" s="501" t="s">
        <v>1099</v>
      </c>
      <c r="I8" s="501" t="s">
        <v>1100</v>
      </c>
      <c r="J8" s="501" t="s">
        <v>1101</v>
      </c>
      <c r="K8" s="501" t="s">
        <v>1102</v>
      </c>
      <c r="L8" s="501" t="s">
        <v>1103</v>
      </c>
      <c r="M8" s="501" t="s">
        <v>1104</v>
      </c>
      <c r="N8" s="501" t="s">
        <v>1105</v>
      </c>
      <c r="O8" s="501" t="s">
        <v>1106</v>
      </c>
      <c r="P8" s="501" t="s">
        <v>1107</v>
      </c>
      <c r="Q8" s="501" t="s">
        <v>1108</v>
      </c>
      <c r="R8" s="327" t="s">
        <v>190</v>
      </c>
      <c r="S8" s="328" t="s">
        <v>191</v>
      </c>
    </row>
    <row r="9" spans="2:19" ht="56.25">
      <c r="B9" s="607" t="s">
        <v>124</v>
      </c>
      <c r="C9" s="397"/>
      <c r="D9" s="397"/>
      <c r="F9" s="397"/>
      <c r="G9" s="397"/>
      <c r="H9" s="397"/>
      <c r="I9" s="397"/>
      <c r="J9" s="397"/>
      <c r="K9" s="397"/>
      <c r="L9" s="397"/>
      <c r="M9" s="397"/>
      <c r="N9" s="397"/>
      <c r="O9" s="397"/>
      <c r="P9" s="397"/>
      <c r="Q9" s="397"/>
      <c r="R9" s="397"/>
      <c r="S9" s="329" t="s">
        <v>195</v>
      </c>
    </row>
    <row r="10" spans="2:19" ht="56.25">
      <c r="B10" s="607" t="s">
        <v>192</v>
      </c>
      <c r="C10" s="608" t="s">
        <v>705</v>
      </c>
      <c r="D10" s="543" t="s">
        <v>194</v>
      </c>
      <c r="F10" s="397"/>
      <c r="G10" s="397"/>
      <c r="H10" s="397"/>
      <c r="I10" s="397"/>
      <c r="J10" s="397"/>
      <c r="K10" s="397"/>
      <c r="L10" s="397"/>
      <c r="M10" s="397"/>
      <c r="N10" s="397"/>
      <c r="O10" s="397"/>
      <c r="P10" s="397"/>
      <c r="Q10" s="397"/>
      <c r="R10" s="397"/>
      <c r="S10" s="418" t="s">
        <v>195</v>
      </c>
    </row>
    <row r="11" spans="2:19" ht="12" thickBot="1">
      <c r="B11" s="550"/>
      <c r="C11" s="551"/>
      <c r="D11" s="552"/>
      <c r="E11" s="62"/>
      <c r="F11" s="365"/>
      <c r="G11" s="365"/>
      <c r="H11" s="365"/>
      <c r="I11" s="365"/>
      <c r="J11" s="365"/>
      <c r="K11" s="365"/>
      <c r="L11" s="365"/>
      <c r="M11" s="365"/>
      <c r="N11" s="365"/>
      <c r="O11" s="365"/>
      <c r="P11" s="365"/>
      <c r="Q11" s="365"/>
      <c r="R11" s="397"/>
      <c r="S11" s="420"/>
    </row>
    <row r="12" spans="2:19" ht="34.5" thickTop="1">
      <c r="B12" s="609" t="s">
        <v>420</v>
      </c>
      <c r="C12" s="549" t="s">
        <v>407</v>
      </c>
      <c r="D12" s="337" t="s">
        <v>311</v>
      </c>
      <c r="E12" s="28" t="s">
        <v>123</v>
      </c>
      <c r="F12" s="412" t="s">
        <v>423</v>
      </c>
      <c r="G12" s="412" t="s">
        <v>421</v>
      </c>
      <c r="H12" s="412" t="s">
        <v>422</v>
      </c>
      <c r="I12" s="412" t="s">
        <v>423</v>
      </c>
      <c r="J12" s="412" t="s">
        <v>423</v>
      </c>
      <c r="K12" s="412" t="s">
        <v>423</v>
      </c>
      <c r="L12" s="412" t="s">
        <v>423</v>
      </c>
      <c r="M12" s="412" t="s">
        <v>423</v>
      </c>
      <c r="N12" s="412" t="s">
        <v>423</v>
      </c>
      <c r="O12" s="412" t="s">
        <v>423</v>
      </c>
      <c r="P12" s="412" t="s">
        <v>423</v>
      </c>
      <c r="Q12" s="412" t="s">
        <v>423</v>
      </c>
      <c r="R12" s="397"/>
      <c r="S12" s="420"/>
    </row>
    <row r="13" spans="2:19">
      <c r="B13" s="581"/>
      <c r="C13" s="545"/>
      <c r="D13" s="337" t="s">
        <v>202</v>
      </c>
      <c r="F13" s="413"/>
      <c r="G13" s="413"/>
      <c r="H13" s="413"/>
      <c r="I13" s="413"/>
      <c r="J13" s="413"/>
      <c r="K13" s="413"/>
      <c r="L13" s="413"/>
      <c r="M13" s="413"/>
      <c r="N13" s="413"/>
      <c r="O13" s="413"/>
      <c r="P13" s="413"/>
      <c r="Q13" s="413"/>
      <c r="R13" s="397"/>
      <c r="S13" s="420"/>
    </row>
    <row r="14" spans="2:19">
      <c r="B14" s="581"/>
      <c r="C14" s="545"/>
      <c r="D14" s="337" t="s">
        <v>204</v>
      </c>
      <c r="E14" s="28" t="s">
        <v>205</v>
      </c>
      <c r="F14" s="342">
        <f t="shared" ref="F14:Q14" si="1">_xlfn.XLOOKUP(F12,Utilities_names_CS,Utilities_rates_CS)</f>
        <v>51703.623526343334</v>
      </c>
      <c r="G14" s="342">
        <f t="shared" si="1"/>
        <v>35223.858822378752</v>
      </c>
      <c r="H14" s="342">
        <f t="shared" si="1"/>
        <v>6300.8164703964585</v>
      </c>
      <c r="I14" s="342">
        <f t="shared" si="1"/>
        <v>51703.623526343334</v>
      </c>
      <c r="J14" s="342">
        <f t="shared" si="1"/>
        <v>51703.623526343334</v>
      </c>
      <c r="K14" s="342">
        <f t="shared" si="1"/>
        <v>51703.623526343334</v>
      </c>
      <c r="L14" s="342">
        <f t="shared" si="1"/>
        <v>51703.623526343334</v>
      </c>
      <c r="M14" s="342">
        <f t="shared" si="1"/>
        <v>51703.623526343334</v>
      </c>
      <c r="N14" s="342">
        <f t="shared" si="1"/>
        <v>51703.623526343334</v>
      </c>
      <c r="O14" s="342">
        <f t="shared" si="1"/>
        <v>51703.623526343334</v>
      </c>
      <c r="P14" s="342">
        <f t="shared" si="1"/>
        <v>51703.623526343334</v>
      </c>
      <c r="Q14" s="342">
        <f t="shared" si="1"/>
        <v>51703.623526343334</v>
      </c>
      <c r="R14" s="397"/>
      <c r="S14" s="420"/>
    </row>
    <row r="15" spans="2:19">
      <c r="B15" s="581"/>
      <c r="C15" s="545"/>
      <c r="D15" s="337" t="s">
        <v>206</v>
      </c>
      <c r="E15" s="28" t="s">
        <v>205</v>
      </c>
      <c r="F15" s="414"/>
      <c r="G15" s="414"/>
      <c r="H15" s="414"/>
      <c r="I15" s="414"/>
      <c r="J15" s="414"/>
      <c r="K15" s="414"/>
      <c r="L15" s="414"/>
      <c r="M15" s="414"/>
      <c r="N15" s="414"/>
      <c r="O15" s="414"/>
      <c r="P15" s="414"/>
      <c r="Q15" s="414"/>
      <c r="R15" s="397"/>
      <c r="S15" s="420"/>
    </row>
    <row r="16" spans="2:19">
      <c r="B16" s="583"/>
      <c r="C16" s="548"/>
      <c r="D16" s="337" t="s">
        <v>146</v>
      </c>
      <c r="E16" s="28" t="s">
        <v>207</v>
      </c>
      <c r="F16" s="344">
        <f>F13*IF(F15="",F14,F15)</f>
        <v>0</v>
      </c>
      <c r="G16" s="344">
        <f>G13*IF(G15="",G14,G15)</f>
        <v>0</v>
      </c>
      <c r="H16" s="344">
        <f>H13*IF(H15="",H14,H15)</f>
        <v>0</v>
      </c>
      <c r="I16" s="344">
        <f>I13*IF(I15="",I14,I15)</f>
        <v>0</v>
      </c>
      <c r="J16" s="344">
        <f t="shared" ref="J16:Q16" si="2">J13*IF(J15="",J14,J15)</f>
        <v>0</v>
      </c>
      <c r="K16" s="344">
        <f t="shared" si="2"/>
        <v>0</v>
      </c>
      <c r="L16" s="344">
        <f t="shared" si="2"/>
        <v>0</v>
      </c>
      <c r="M16" s="344">
        <f t="shared" si="2"/>
        <v>0</v>
      </c>
      <c r="N16" s="344">
        <f t="shared" si="2"/>
        <v>0</v>
      </c>
      <c r="O16" s="344">
        <f t="shared" si="2"/>
        <v>0</v>
      </c>
      <c r="P16" s="344">
        <f t="shared" si="2"/>
        <v>0</v>
      </c>
      <c r="Q16" s="344">
        <f t="shared" si="2"/>
        <v>0</v>
      </c>
      <c r="R16" s="397"/>
      <c r="S16" s="420"/>
    </row>
    <row r="17" spans="2:19" ht="12" thickBot="1">
      <c r="B17" s="550"/>
      <c r="C17" s="551"/>
      <c r="D17" s="552" t="str">
        <f>B12</f>
        <v>Disconnect services (all)</v>
      </c>
      <c r="E17" s="62" t="s">
        <v>207</v>
      </c>
      <c r="F17" s="365">
        <f>F16</f>
        <v>0</v>
      </c>
      <c r="G17" s="365">
        <f t="shared" ref="G17:I17" si="3">G16</f>
        <v>0</v>
      </c>
      <c r="H17" s="365">
        <f t="shared" si="3"/>
        <v>0</v>
      </c>
      <c r="I17" s="365">
        <f t="shared" si="3"/>
        <v>0</v>
      </c>
      <c r="J17" s="365">
        <f t="shared" ref="J17:Q17" si="4">J16</f>
        <v>0</v>
      </c>
      <c r="K17" s="365">
        <f t="shared" si="4"/>
        <v>0</v>
      </c>
      <c r="L17" s="365">
        <f t="shared" si="4"/>
        <v>0</v>
      </c>
      <c r="M17" s="365">
        <f t="shared" si="4"/>
        <v>0</v>
      </c>
      <c r="N17" s="365">
        <f t="shared" si="4"/>
        <v>0</v>
      </c>
      <c r="O17" s="365">
        <f t="shared" si="4"/>
        <v>0</v>
      </c>
      <c r="P17" s="365">
        <f t="shared" si="4"/>
        <v>0</v>
      </c>
      <c r="Q17" s="365">
        <f t="shared" si="4"/>
        <v>0</v>
      </c>
      <c r="R17" s="397"/>
      <c r="S17" s="420"/>
    </row>
    <row r="18" spans="2:19" ht="12" thickTop="1">
      <c r="B18" s="609" t="s">
        <v>1109</v>
      </c>
      <c r="C18" s="549" t="s">
        <v>1110</v>
      </c>
      <c r="D18" s="337" t="s">
        <v>355</v>
      </c>
      <c r="E18" s="28" t="s">
        <v>211</v>
      </c>
      <c r="F18" s="615"/>
      <c r="G18" s="615"/>
      <c r="H18" s="615"/>
      <c r="I18" s="615"/>
      <c r="J18" s="615"/>
      <c r="K18" s="615"/>
      <c r="L18" s="615"/>
      <c r="M18" s="615"/>
      <c r="N18" s="615"/>
      <c r="O18" s="615"/>
      <c r="P18" s="615"/>
      <c r="Q18" s="615"/>
      <c r="R18" s="397"/>
      <c r="S18" s="420"/>
    </row>
    <row r="19" spans="2:19">
      <c r="B19" s="581"/>
      <c r="C19" s="545"/>
      <c r="D19" s="337" t="s">
        <v>204</v>
      </c>
      <c r="E19" s="28" t="s">
        <v>293</v>
      </c>
      <c r="F19" s="342">
        <f>'Cost Schedule'!$D$103</f>
        <v>1447.7095364490337</v>
      </c>
      <c r="G19" s="342">
        <f>'Cost Schedule'!$D$103</f>
        <v>1447.7095364490337</v>
      </c>
      <c r="H19" s="342">
        <f>'Cost Schedule'!$D$103</f>
        <v>1447.7095364490337</v>
      </c>
      <c r="I19" s="342">
        <f>'Cost Schedule'!$D$103</f>
        <v>1447.7095364490337</v>
      </c>
      <c r="J19" s="342">
        <f>'Cost Schedule'!$D$103</f>
        <v>1447.7095364490337</v>
      </c>
      <c r="K19" s="342">
        <f>'Cost Schedule'!$D$103</f>
        <v>1447.7095364490337</v>
      </c>
      <c r="L19" s="342">
        <f>'Cost Schedule'!$D$103</f>
        <v>1447.7095364490337</v>
      </c>
      <c r="M19" s="342">
        <f>'Cost Schedule'!$D$103</f>
        <v>1447.7095364490337</v>
      </c>
      <c r="N19" s="342">
        <f>'Cost Schedule'!$D$103</f>
        <v>1447.7095364490337</v>
      </c>
      <c r="O19" s="342">
        <f>'Cost Schedule'!$D$103</f>
        <v>1447.7095364490337</v>
      </c>
      <c r="P19" s="342">
        <f>'Cost Schedule'!$D$103</f>
        <v>1447.7095364490337</v>
      </c>
      <c r="Q19" s="342">
        <f>'Cost Schedule'!$D$103</f>
        <v>1447.7095364490337</v>
      </c>
      <c r="R19" s="397"/>
      <c r="S19" s="427"/>
    </row>
    <row r="20" spans="2:19">
      <c r="B20" s="581"/>
      <c r="C20" s="545"/>
      <c r="D20" s="337" t="s">
        <v>206</v>
      </c>
      <c r="E20" s="28" t="s">
        <v>293</v>
      </c>
      <c r="F20" s="414"/>
      <c r="G20" s="414"/>
      <c r="H20" s="414"/>
      <c r="I20" s="414"/>
      <c r="J20" s="414"/>
      <c r="K20" s="414"/>
      <c r="L20" s="414"/>
      <c r="M20" s="414"/>
      <c r="N20" s="414"/>
      <c r="O20" s="414"/>
      <c r="P20" s="414"/>
      <c r="Q20" s="414"/>
      <c r="R20" s="397"/>
      <c r="S20" s="420"/>
    </row>
    <row r="21" spans="2:19">
      <c r="B21" s="583"/>
      <c r="C21" s="548"/>
      <c r="D21" s="337" t="s">
        <v>146</v>
      </c>
      <c r="E21" s="28" t="s">
        <v>207</v>
      </c>
      <c r="F21" s="424">
        <f t="shared" ref="F21:I21" si="5">F18*IF(F20="",F19,F20)</f>
        <v>0</v>
      </c>
      <c r="G21" s="424">
        <f t="shared" si="5"/>
        <v>0</v>
      </c>
      <c r="H21" s="424">
        <f t="shared" si="5"/>
        <v>0</v>
      </c>
      <c r="I21" s="424">
        <f t="shared" si="5"/>
        <v>0</v>
      </c>
      <c r="J21" s="424">
        <f t="shared" ref="J21:Q21" si="6">J18*IF(J20="",J19,J20)</f>
        <v>0</v>
      </c>
      <c r="K21" s="424">
        <f t="shared" si="6"/>
        <v>0</v>
      </c>
      <c r="L21" s="424">
        <f t="shared" si="6"/>
        <v>0</v>
      </c>
      <c r="M21" s="424">
        <f t="shared" si="6"/>
        <v>0</v>
      </c>
      <c r="N21" s="424">
        <f t="shared" si="6"/>
        <v>0</v>
      </c>
      <c r="O21" s="424">
        <f t="shared" si="6"/>
        <v>0</v>
      </c>
      <c r="P21" s="424">
        <f t="shared" si="6"/>
        <v>0</v>
      </c>
      <c r="Q21" s="424">
        <f t="shared" si="6"/>
        <v>0</v>
      </c>
      <c r="R21" s="397"/>
      <c r="S21" s="420"/>
    </row>
    <row r="22" spans="2:19" ht="12" thickBot="1">
      <c r="B22" s="550"/>
      <c r="C22" s="551"/>
      <c r="D22" s="552" t="str">
        <f>B18</f>
        <v>Remove Conveyors</v>
      </c>
      <c r="E22" s="62" t="s">
        <v>207</v>
      </c>
      <c r="F22" s="365">
        <f>F21</f>
        <v>0</v>
      </c>
      <c r="G22" s="365">
        <f>G21</f>
        <v>0</v>
      </c>
      <c r="H22" s="365">
        <f>H21</f>
        <v>0</v>
      </c>
      <c r="I22" s="365">
        <f>I21</f>
        <v>0</v>
      </c>
      <c r="J22" s="365">
        <f t="shared" ref="J22:Q22" si="7">J21</f>
        <v>0</v>
      </c>
      <c r="K22" s="365">
        <f t="shared" si="7"/>
        <v>0</v>
      </c>
      <c r="L22" s="365">
        <f t="shared" si="7"/>
        <v>0</v>
      </c>
      <c r="M22" s="365">
        <f t="shared" si="7"/>
        <v>0</v>
      </c>
      <c r="N22" s="365">
        <f t="shared" si="7"/>
        <v>0</v>
      </c>
      <c r="O22" s="365">
        <f t="shared" si="7"/>
        <v>0</v>
      </c>
      <c r="P22" s="365">
        <f t="shared" si="7"/>
        <v>0</v>
      </c>
      <c r="Q22" s="365">
        <f t="shared" si="7"/>
        <v>0</v>
      </c>
      <c r="R22" s="397"/>
      <c r="S22" s="420"/>
    </row>
    <row r="23" spans="2:19" ht="12" thickTop="1">
      <c r="B23" s="553" t="s">
        <v>296</v>
      </c>
      <c r="C23" s="610" t="str">
        <f t="shared" ref="C23" si="8">Growth_media</f>
        <v>Growth media</v>
      </c>
      <c r="D23" s="420" t="s">
        <v>214</v>
      </c>
      <c r="E23" s="28" t="s">
        <v>299</v>
      </c>
      <c r="F23" s="616"/>
      <c r="G23" s="616"/>
      <c r="H23" s="616"/>
      <c r="I23" s="616"/>
      <c r="J23" s="616"/>
      <c r="K23" s="616"/>
      <c r="L23" s="616"/>
      <c r="M23" s="616"/>
      <c r="N23" s="616"/>
      <c r="O23" s="616"/>
      <c r="P23" s="616"/>
      <c r="Q23" s="616"/>
      <c r="R23" s="397"/>
      <c r="S23" s="420"/>
    </row>
    <row r="24" spans="2:19">
      <c r="B24" s="545"/>
      <c r="C24" s="578"/>
      <c r="D24" s="420" t="s">
        <v>304</v>
      </c>
      <c r="E24" s="28" t="s">
        <v>211</v>
      </c>
      <c r="F24" s="70">
        <f t="shared" ref="F24" si="9">Haul_roads_track_rail_growth_media_thickness/Conv_mm_in_metres</f>
        <v>0.15</v>
      </c>
      <c r="G24" s="70">
        <f t="shared" ref="G24:Q24" si="10">U_g_mine_top_soil_thickness/Conv_mm_in_metres</f>
        <v>0.15</v>
      </c>
      <c r="H24" s="70">
        <f t="shared" si="10"/>
        <v>0.15</v>
      </c>
      <c r="I24" s="70">
        <f t="shared" si="10"/>
        <v>0.15</v>
      </c>
      <c r="J24" s="70">
        <f t="shared" si="10"/>
        <v>0.15</v>
      </c>
      <c r="K24" s="70">
        <f t="shared" si="10"/>
        <v>0.15</v>
      </c>
      <c r="L24" s="70">
        <f t="shared" si="10"/>
        <v>0.15</v>
      </c>
      <c r="M24" s="70">
        <f t="shared" si="10"/>
        <v>0.15</v>
      </c>
      <c r="N24" s="70">
        <f t="shared" si="10"/>
        <v>0.15</v>
      </c>
      <c r="O24" s="70">
        <f t="shared" si="10"/>
        <v>0.15</v>
      </c>
      <c r="P24" s="70">
        <f t="shared" si="10"/>
        <v>0.15</v>
      </c>
      <c r="Q24" s="70">
        <f t="shared" si="10"/>
        <v>0.15</v>
      </c>
      <c r="R24" s="397"/>
      <c r="S24" s="420"/>
    </row>
    <row r="25" spans="2:19">
      <c r="B25" s="545"/>
      <c r="C25" s="578"/>
      <c r="D25" s="420" t="s">
        <v>305</v>
      </c>
      <c r="E25" s="28" t="s">
        <v>211</v>
      </c>
      <c r="F25" s="411"/>
      <c r="G25" s="411"/>
      <c r="H25" s="411"/>
      <c r="I25" s="411"/>
      <c r="J25" s="411"/>
      <c r="K25" s="411"/>
      <c r="L25" s="411"/>
      <c r="M25" s="411"/>
      <c r="N25" s="411"/>
      <c r="O25" s="411"/>
      <c r="P25" s="411"/>
      <c r="Q25" s="411"/>
      <c r="R25" s="397"/>
      <c r="S25" s="420"/>
    </row>
    <row r="26" spans="2:19">
      <c r="B26" s="545"/>
      <c r="C26" s="578"/>
      <c r="D26" s="420" t="s">
        <v>306</v>
      </c>
      <c r="E26" s="28" t="s">
        <v>211</v>
      </c>
      <c r="F26" s="70">
        <f>IF(F25="",F24,F25)</f>
        <v>0.15</v>
      </c>
      <c r="G26" s="70">
        <f t="shared" ref="G26:Q26" si="11">IF(G25="",G24,G25)</f>
        <v>0.15</v>
      </c>
      <c r="H26" s="70">
        <f t="shared" si="11"/>
        <v>0.15</v>
      </c>
      <c r="I26" s="70">
        <f t="shared" si="11"/>
        <v>0.15</v>
      </c>
      <c r="J26" s="70">
        <f t="shared" si="11"/>
        <v>0.15</v>
      </c>
      <c r="K26" s="70">
        <f t="shared" si="11"/>
        <v>0.15</v>
      </c>
      <c r="L26" s="70">
        <f t="shared" si="11"/>
        <v>0.15</v>
      </c>
      <c r="M26" s="70">
        <f t="shared" si="11"/>
        <v>0.15</v>
      </c>
      <c r="N26" s="70">
        <f t="shared" si="11"/>
        <v>0.15</v>
      </c>
      <c r="O26" s="70">
        <f t="shared" si="11"/>
        <v>0.15</v>
      </c>
      <c r="P26" s="70">
        <f t="shared" si="11"/>
        <v>0.15</v>
      </c>
      <c r="Q26" s="70">
        <f t="shared" si="11"/>
        <v>0.15</v>
      </c>
      <c r="R26" s="397"/>
      <c r="S26" s="420"/>
    </row>
    <row r="27" spans="2:19">
      <c r="B27" s="545"/>
      <c r="C27" s="578"/>
      <c r="D27" s="420" t="s">
        <v>307</v>
      </c>
      <c r="E27" s="28" t="s">
        <v>219</v>
      </c>
      <c r="F27" s="367">
        <f t="shared" ref="F27:Q27" si="12">F23*Conv_sqm_ha*F26</f>
        <v>0</v>
      </c>
      <c r="G27" s="367">
        <f t="shared" si="12"/>
        <v>0</v>
      </c>
      <c r="H27" s="367">
        <f t="shared" si="12"/>
        <v>0</v>
      </c>
      <c r="I27" s="367">
        <f t="shared" si="12"/>
        <v>0</v>
      </c>
      <c r="J27" s="367">
        <f t="shared" si="12"/>
        <v>0</v>
      </c>
      <c r="K27" s="367">
        <f t="shared" si="12"/>
        <v>0</v>
      </c>
      <c r="L27" s="367">
        <f t="shared" si="12"/>
        <v>0</v>
      </c>
      <c r="M27" s="367">
        <f t="shared" si="12"/>
        <v>0</v>
      </c>
      <c r="N27" s="367">
        <f t="shared" si="12"/>
        <v>0</v>
      </c>
      <c r="O27" s="367">
        <f t="shared" si="12"/>
        <v>0</v>
      </c>
      <c r="P27" s="367">
        <f t="shared" si="12"/>
        <v>0</v>
      </c>
      <c r="Q27" s="367">
        <f t="shared" si="12"/>
        <v>0</v>
      </c>
      <c r="R27" s="397"/>
      <c r="S27" s="420"/>
    </row>
    <row r="28" spans="2:19" ht="33.75">
      <c r="B28" s="545"/>
      <c r="C28" s="578"/>
      <c r="D28" s="420" t="s">
        <v>634</v>
      </c>
      <c r="E28" s="28" t="s">
        <v>123</v>
      </c>
      <c r="F28" s="617" t="s">
        <v>555</v>
      </c>
      <c r="G28" s="617" t="s">
        <v>555</v>
      </c>
      <c r="H28" s="617" t="s">
        <v>555</v>
      </c>
      <c r="I28" s="617" t="s">
        <v>555</v>
      </c>
      <c r="J28" s="617" t="s">
        <v>555</v>
      </c>
      <c r="K28" s="617" t="s">
        <v>555</v>
      </c>
      <c r="L28" s="617" t="s">
        <v>555</v>
      </c>
      <c r="M28" s="617" t="s">
        <v>555</v>
      </c>
      <c r="N28" s="617" t="s">
        <v>555</v>
      </c>
      <c r="O28" s="617" t="s">
        <v>555</v>
      </c>
      <c r="P28" s="617" t="s">
        <v>555</v>
      </c>
      <c r="Q28" s="617" t="s">
        <v>555</v>
      </c>
      <c r="R28" s="397"/>
      <c r="S28" s="420"/>
    </row>
    <row r="29" spans="2:19">
      <c r="B29" s="545"/>
      <c r="C29" s="578"/>
      <c r="D29" s="337" t="s">
        <v>204</v>
      </c>
      <c r="E29" s="28" t="s">
        <v>219</v>
      </c>
      <c r="F29" s="342">
        <f t="shared" ref="F29:Q29" si="13">_xlfn.XLOOKUP(F28,Load_haul_soil_names_CS,Load_haul_soil_rates_CS)</f>
        <v>5.5737090155748836</v>
      </c>
      <c r="G29" s="342">
        <f t="shared" si="13"/>
        <v>5.5737090155748836</v>
      </c>
      <c r="H29" s="342">
        <f t="shared" si="13"/>
        <v>5.5737090155748836</v>
      </c>
      <c r="I29" s="342">
        <f t="shared" si="13"/>
        <v>5.5737090155748836</v>
      </c>
      <c r="J29" s="342">
        <f t="shared" si="13"/>
        <v>5.5737090155748836</v>
      </c>
      <c r="K29" s="342">
        <f t="shared" si="13"/>
        <v>5.5737090155748836</v>
      </c>
      <c r="L29" s="342">
        <f t="shared" si="13"/>
        <v>5.5737090155748836</v>
      </c>
      <c r="M29" s="342">
        <f t="shared" si="13"/>
        <v>5.5737090155748836</v>
      </c>
      <c r="N29" s="342">
        <f t="shared" si="13"/>
        <v>5.5737090155748836</v>
      </c>
      <c r="O29" s="342">
        <f t="shared" si="13"/>
        <v>5.5737090155748836</v>
      </c>
      <c r="P29" s="342">
        <f t="shared" si="13"/>
        <v>5.5737090155748836</v>
      </c>
      <c r="Q29" s="342">
        <f t="shared" si="13"/>
        <v>5.5737090155748836</v>
      </c>
      <c r="R29" s="397"/>
      <c r="S29" s="420"/>
    </row>
    <row r="30" spans="2:19">
      <c r="B30" s="545"/>
      <c r="C30" s="578"/>
      <c r="D30" s="337" t="s">
        <v>206</v>
      </c>
      <c r="F30" s="414"/>
      <c r="G30" s="414"/>
      <c r="H30" s="414"/>
      <c r="I30" s="414"/>
      <c r="J30" s="414"/>
      <c r="K30" s="414"/>
      <c r="L30" s="414"/>
      <c r="M30" s="414"/>
      <c r="N30" s="414"/>
      <c r="O30" s="414"/>
      <c r="P30" s="414"/>
      <c r="Q30" s="414"/>
      <c r="R30" s="397"/>
      <c r="S30" s="420"/>
    </row>
    <row r="31" spans="2:19">
      <c r="B31" s="548"/>
      <c r="C31" s="580"/>
      <c r="D31" s="420" t="s">
        <v>146</v>
      </c>
      <c r="E31" s="28" t="s">
        <v>207</v>
      </c>
      <c r="F31" s="344">
        <f>F27*IF(F30="",F29,F30)</f>
        <v>0</v>
      </c>
      <c r="G31" s="344">
        <f t="shared" ref="G31:I31" si="14">G27*IF(G30="",G29,G30)</f>
        <v>0</v>
      </c>
      <c r="H31" s="344">
        <f t="shared" si="14"/>
        <v>0</v>
      </c>
      <c r="I31" s="344">
        <f t="shared" si="14"/>
        <v>0</v>
      </c>
      <c r="J31" s="344">
        <f t="shared" ref="J31:Q31" si="15">J27*IF(J30="",J29,J30)</f>
        <v>0</v>
      </c>
      <c r="K31" s="344">
        <f t="shared" si="15"/>
        <v>0</v>
      </c>
      <c r="L31" s="344">
        <f t="shared" si="15"/>
        <v>0</v>
      </c>
      <c r="M31" s="344">
        <f t="shared" si="15"/>
        <v>0</v>
      </c>
      <c r="N31" s="344">
        <f t="shared" si="15"/>
        <v>0</v>
      </c>
      <c r="O31" s="344">
        <f t="shared" si="15"/>
        <v>0</v>
      </c>
      <c r="P31" s="344">
        <f t="shared" si="15"/>
        <v>0</v>
      </c>
      <c r="Q31" s="344">
        <f t="shared" si="15"/>
        <v>0</v>
      </c>
      <c r="R31" s="397"/>
      <c r="S31" s="420"/>
    </row>
    <row r="32" spans="2:19" ht="12" thickBot="1">
      <c r="B32" s="550"/>
      <c r="C32" s="551"/>
      <c r="D32" s="552" t="str">
        <f>B23</f>
        <v>Source and apply growth media</v>
      </c>
      <c r="E32" s="72"/>
      <c r="F32" s="365">
        <f>F31</f>
        <v>0</v>
      </c>
      <c r="G32" s="365">
        <f t="shared" ref="G32:I32" si="16">G31</f>
        <v>0</v>
      </c>
      <c r="H32" s="365">
        <f t="shared" si="16"/>
        <v>0</v>
      </c>
      <c r="I32" s="365">
        <f t="shared" si="16"/>
        <v>0</v>
      </c>
      <c r="J32" s="365">
        <f t="shared" ref="J32:Q32" si="17">J31</f>
        <v>0</v>
      </c>
      <c r="K32" s="365">
        <f t="shared" si="17"/>
        <v>0</v>
      </c>
      <c r="L32" s="365">
        <f t="shared" si="17"/>
        <v>0</v>
      </c>
      <c r="M32" s="365">
        <f t="shared" si="17"/>
        <v>0</v>
      </c>
      <c r="N32" s="365">
        <f t="shared" si="17"/>
        <v>0</v>
      </c>
      <c r="O32" s="365">
        <f t="shared" si="17"/>
        <v>0</v>
      </c>
      <c r="P32" s="365">
        <f t="shared" si="17"/>
        <v>0</v>
      </c>
      <c r="Q32" s="365">
        <f t="shared" si="17"/>
        <v>0</v>
      </c>
      <c r="R32" s="397"/>
      <c r="S32" s="420"/>
    </row>
    <row r="33" spans="2:19" ht="12" thickTop="1">
      <c r="B33" s="553" t="s">
        <v>310</v>
      </c>
      <c r="C33" s="610" t="str">
        <f t="shared" ref="C33" si="18">Ameliorants</f>
        <v>Ameliorants</v>
      </c>
      <c r="D33" s="420" t="s">
        <v>623</v>
      </c>
      <c r="E33" s="28" t="s">
        <v>299</v>
      </c>
      <c r="F33" s="385">
        <f>F23</f>
        <v>0</v>
      </c>
      <c r="G33" s="385">
        <f>G23</f>
        <v>0</v>
      </c>
      <c r="H33" s="385">
        <f>H23</f>
        <v>0</v>
      </c>
      <c r="I33" s="385">
        <f>I23</f>
        <v>0</v>
      </c>
      <c r="J33" s="385">
        <f t="shared" ref="J33:Q33" si="19">J23</f>
        <v>0</v>
      </c>
      <c r="K33" s="385">
        <f t="shared" si="19"/>
        <v>0</v>
      </c>
      <c r="L33" s="385">
        <f t="shared" si="19"/>
        <v>0</v>
      </c>
      <c r="M33" s="385">
        <f t="shared" si="19"/>
        <v>0</v>
      </c>
      <c r="N33" s="385">
        <f t="shared" si="19"/>
        <v>0</v>
      </c>
      <c r="O33" s="385">
        <f t="shared" si="19"/>
        <v>0</v>
      </c>
      <c r="P33" s="385">
        <f t="shared" si="19"/>
        <v>0</v>
      </c>
      <c r="Q33" s="385">
        <f t="shared" si="19"/>
        <v>0</v>
      </c>
      <c r="R33" s="397"/>
      <c r="S33" s="420"/>
    </row>
    <row r="34" spans="2:19">
      <c r="B34" s="545"/>
      <c r="C34" s="578"/>
      <c r="D34" s="420" t="s">
        <v>624</v>
      </c>
      <c r="E34" s="28" t="s">
        <v>299</v>
      </c>
      <c r="F34" s="605"/>
      <c r="G34" s="605"/>
      <c r="H34" s="605"/>
      <c r="I34" s="605"/>
      <c r="J34" s="605"/>
      <c r="K34" s="605"/>
      <c r="L34" s="605"/>
      <c r="M34" s="605"/>
      <c r="N34" s="605"/>
      <c r="O34" s="605"/>
      <c r="P34" s="605"/>
      <c r="Q34" s="605"/>
      <c r="R34" s="397"/>
      <c r="S34" s="420"/>
    </row>
    <row r="35" spans="2:19">
      <c r="B35" s="545"/>
      <c r="C35" s="578"/>
      <c r="D35" s="420" t="s">
        <v>625</v>
      </c>
      <c r="E35" s="28" t="s">
        <v>299</v>
      </c>
      <c r="F35" s="385">
        <f>IF(F34="",F33,F34)</f>
        <v>0</v>
      </c>
      <c r="G35" s="385">
        <f t="shared" ref="G35:I35" si="20">IF(G34="",G33,G34)</f>
        <v>0</v>
      </c>
      <c r="H35" s="385">
        <f t="shared" si="20"/>
        <v>0</v>
      </c>
      <c r="I35" s="385">
        <f t="shared" si="20"/>
        <v>0</v>
      </c>
      <c r="J35" s="385">
        <f t="shared" ref="J35:Q35" si="21">IF(J34="",J33,J34)</f>
        <v>0</v>
      </c>
      <c r="K35" s="385">
        <f t="shared" si="21"/>
        <v>0</v>
      </c>
      <c r="L35" s="385">
        <f t="shared" si="21"/>
        <v>0</v>
      </c>
      <c r="M35" s="385">
        <f t="shared" si="21"/>
        <v>0</v>
      </c>
      <c r="N35" s="385">
        <f t="shared" si="21"/>
        <v>0</v>
      </c>
      <c r="O35" s="385">
        <f t="shared" si="21"/>
        <v>0</v>
      </c>
      <c r="P35" s="385">
        <f t="shared" si="21"/>
        <v>0</v>
      </c>
      <c r="Q35" s="385">
        <f t="shared" si="21"/>
        <v>0</v>
      </c>
      <c r="R35" s="397"/>
      <c r="S35" s="420"/>
    </row>
    <row r="36" spans="2:19" ht="22.5">
      <c r="B36" s="545"/>
      <c r="C36" s="578"/>
      <c r="D36" s="420" t="s">
        <v>311</v>
      </c>
      <c r="E36" s="28" t="s">
        <v>123</v>
      </c>
      <c r="F36" s="618" t="s">
        <v>312</v>
      </c>
      <c r="G36" s="618" t="s">
        <v>312</v>
      </c>
      <c r="H36" s="618" t="s">
        <v>315</v>
      </c>
      <c r="I36" s="618" t="s">
        <v>312</v>
      </c>
      <c r="J36" s="618" t="s">
        <v>312</v>
      </c>
      <c r="K36" s="618" t="s">
        <v>312</v>
      </c>
      <c r="L36" s="618" t="s">
        <v>312</v>
      </c>
      <c r="M36" s="618" t="s">
        <v>312</v>
      </c>
      <c r="N36" s="618" t="s">
        <v>312</v>
      </c>
      <c r="O36" s="618" t="s">
        <v>312</v>
      </c>
      <c r="P36" s="618" t="s">
        <v>312</v>
      </c>
      <c r="Q36" s="618" t="s">
        <v>312</v>
      </c>
      <c r="R36" s="397"/>
      <c r="S36" s="420"/>
    </row>
    <row r="37" spans="2:19">
      <c r="B37" s="545"/>
      <c r="C37" s="578"/>
      <c r="D37" s="420" t="s">
        <v>320</v>
      </c>
      <c r="E37" s="28" t="s">
        <v>321</v>
      </c>
      <c r="F37" s="385">
        <f>_xlfn.XLOOKUP(F36,'Assumptions - General'!$B$5:$B$14,'Assumptions - General'!$C$5:$C$14)</f>
        <v>2.5</v>
      </c>
      <c r="G37" s="385">
        <f>_xlfn.XLOOKUP(G36,'Assumptions - General'!$B$5:$B$14,'Assumptions - General'!$C$5:$C$14)</f>
        <v>2.5</v>
      </c>
      <c r="H37" s="385">
        <f>_xlfn.XLOOKUP(H36,'Assumptions - General'!$B$5:$B$14,'Assumptions - General'!$C$5:$C$14)</f>
        <v>10</v>
      </c>
      <c r="I37" s="385">
        <f>_xlfn.XLOOKUP(I36,'Assumptions - General'!$B$5:$B$14,'Assumptions - General'!$C$5:$C$14)</f>
        <v>2.5</v>
      </c>
      <c r="J37" s="385">
        <f>_xlfn.XLOOKUP(J36,'Assumptions - General'!$B$5:$B$14,'Assumptions - General'!$C$5:$C$14)</f>
        <v>2.5</v>
      </c>
      <c r="K37" s="385">
        <f>_xlfn.XLOOKUP(K36,'Assumptions - General'!$B$5:$B$14,'Assumptions - General'!$C$5:$C$14)</f>
        <v>2.5</v>
      </c>
      <c r="L37" s="385">
        <f>_xlfn.XLOOKUP(L36,'Assumptions - General'!$B$5:$B$14,'Assumptions - General'!$C$5:$C$14)</f>
        <v>2.5</v>
      </c>
      <c r="M37" s="385">
        <f>_xlfn.XLOOKUP(M36,'Assumptions - General'!$B$5:$B$14,'Assumptions - General'!$C$5:$C$14)</f>
        <v>2.5</v>
      </c>
      <c r="N37" s="385">
        <f>_xlfn.XLOOKUP(N36,'Assumptions - General'!$B$5:$B$14,'Assumptions - General'!$C$5:$C$14)</f>
        <v>2.5</v>
      </c>
      <c r="O37" s="385">
        <f>_xlfn.XLOOKUP(O36,'Assumptions - General'!$B$5:$B$14,'Assumptions - General'!$C$5:$C$14)</f>
        <v>2.5</v>
      </c>
      <c r="P37" s="385">
        <f>_xlfn.XLOOKUP(P36,'Assumptions - General'!$B$5:$B$14,'Assumptions - General'!$C$5:$C$14)</f>
        <v>2.5</v>
      </c>
      <c r="Q37" s="385">
        <f>_xlfn.XLOOKUP(Q36,'Assumptions - General'!$B$5:$B$14,'Assumptions - General'!$C$5:$C$14)</f>
        <v>2.5</v>
      </c>
      <c r="R37" s="397"/>
      <c r="S37" s="420"/>
    </row>
    <row r="38" spans="2:19">
      <c r="B38" s="548"/>
      <c r="C38" s="578"/>
      <c r="D38" s="420" t="s">
        <v>322</v>
      </c>
      <c r="E38" s="28" t="s">
        <v>221</v>
      </c>
      <c r="F38" s="345">
        <f>F35*F37</f>
        <v>0</v>
      </c>
      <c r="G38" s="345">
        <f t="shared" ref="G38:I38" si="22">G35*G37</f>
        <v>0</v>
      </c>
      <c r="H38" s="345">
        <f t="shared" si="22"/>
        <v>0</v>
      </c>
      <c r="I38" s="345">
        <f t="shared" si="22"/>
        <v>0</v>
      </c>
      <c r="J38" s="345">
        <f t="shared" ref="J38:Q38" si="23">J35*J37</f>
        <v>0</v>
      </c>
      <c r="K38" s="345">
        <f t="shared" si="23"/>
        <v>0</v>
      </c>
      <c r="L38" s="345">
        <f t="shared" si="23"/>
        <v>0</v>
      </c>
      <c r="M38" s="345">
        <f t="shared" si="23"/>
        <v>0</v>
      </c>
      <c r="N38" s="345">
        <f t="shared" si="23"/>
        <v>0</v>
      </c>
      <c r="O38" s="345">
        <f t="shared" si="23"/>
        <v>0</v>
      </c>
      <c r="P38" s="345">
        <f t="shared" si="23"/>
        <v>0</v>
      </c>
      <c r="Q38" s="345">
        <f t="shared" si="23"/>
        <v>0</v>
      </c>
      <c r="R38" s="397"/>
      <c r="S38" s="420"/>
    </row>
    <row r="39" spans="2:19">
      <c r="B39" s="549" t="s">
        <v>1111</v>
      </c>
      <c r="C39" s="610" t="str">
        <f t="shared" ref="C39" si="24">Ameliorants</f>
        <v>Ameliorants</v>
      </c>
      <c r="D39" s="337" t="s">
        <v>204</v>
      </c>
      <c r="E39" s="28" t="s">
        <v>228</v>
      </c>
      <c r="F39" s="342">
        <f t="shared" ref="F39:Q39" si="25">_xlfn.XLOOKUP(F36,Rates_soil_seed_adds_names_R,Rates_soil_seed_adds_rates_R)</f>
        <v>47</v>
      </c>
      <c r="G39" s="342">
        <f t="shared" si="25"/>
        <v>47</v>
      </c>
      <c r="H39" s="342">
        <f t="shared" si="25"/>
        <v>114.5305286</v>
      </c>
      <c r="I39" s="342">
        <f t="shared" si="25"/>
        <v>47</v>
      </c>
      <c r="J39" s="342">
        <f t="shared" si="25"/>
        <v>47</v>
      </c>
      <c r="K39" s="342">
        <f t="shared" si="25"/>
        <v>47</v>
      </c>
      <c r="L39" s="342">
        <f t="shared" si="25"/>
        <v>47</v>
      </c>
      <c r="M39" s="342">
        <f t="shared" si="25"/>
        <v>47</v>
      </c>
      <c r="N39" s="342">
        <f t="shared" si="25"/>
        <v>47</v>
      </c>
      <c r="O39" s="342">
        <f t="shared" si="25"/>
        <v>47</v>
      </c>
      <c r="P39" s="342">
        <f t="shared" si="25"/>
        <v>47</v>
      </c>
      <c r="Q39" s="342">
        <f t="shared" si="25"/>
        <v>47</v>
      </c>
      <c r="R39" s="397"/>
      <c r="S39" s="420"/>
    </row>
    <row r="40" spans="2:19">
      <c r="B40" s="545"/>
      <c r="C40" s="578"/>
      <c r="D40" s="337" t="s">
        <v>206</v>
      </c>
      <c r="E40" s="28" t="s">
        <v>228</v>
      </c>
      <c r="F40" s="414"/>
      <c r="G40" s="414"/>
      <c r="H40" s="414"/>
      <c r="I40" s="414"/>
      <c r="J40" s="414"/>
      <c r="K40" s="414"/>
      <c r="L40" s="414"/>
      <c r="M40" s="414"/>
      <c r="N40" s="414"/>
      <c r="O40" s="414"/>
      <c r="P40" s="414"/>
      <c r="Q40" s="414"/>
      <c r="R40" s="397"/>
      <c r="S40" s="420"/>
    </row>
    <row r="41" spans="2:19">
      <c r="B41" s="548"/>
      <c r="C41" s="578"/>
      <c r="D41" s="420" t="s">
        <v>325</v>
      </c>
      <c r="E41" s="28" t="s">
        <v>207</v>
      </c>
      <c r="F41" s="380">
        <f>IF(F40="",F39,F40)*F38</f>
        <v>0</v>
      </c>
      <c r="G41" s="380">
        <f t="shared" ref="G41:I41" si="26">IF(G40="",G39,G40)*G38</f>
        <v>0</v>
      </c>
      <c r="H41" s="380">
        <f t="shared" si="26"/>
        <v>0</v>
      </c>
      <c r="I41" s="380">
        <f t="shared" si="26"/>
        <v>0</v>
      </c>
      <c r="J41" s="380">
        <f t="shared" ref="J41:Q41" si="27">IF(J40="",J39,J40)*J38</f>
        <v>0</v>
      </c>
      <c r="K41" s="380">
        <f t="shared" si="27"/>
        <v>0</v>
      </c>
      <c r="L41" s="380">
        <f t="shared" si="27"/>
        <v>0</v>
      </c>
      <c r="M41" s="380">
        <f t="shared" si="27"/>
        <v>0</v>
      </c>
      <c r="N41" s="380">
        <f t="shared" si="27"/>
        <v>0</v>
      </c>
      <c r="O41" s="380">
        <f t="shared" si="27"/>
        <v>0</v>
      </c>
      <c r="P41" s="380">
        <f t="shared" si="27"/>
        <v>0</v>
      </c>
      <c r="Q41" s="380">
        <f t="shared" si="27"/>
        <v>0</v>
      </c>
      <c r="R41" s="397"/>
      <c r="S41" s="420"/>
    </row>
    <row r="42" spans="2:19">
      <c r="B42" s="549" t="s">
        <v>326</v>
      </c>
      <c r="C42" s="610" t="str">
        <f t="shared" ref="C42" si="28">Ameliorants</f>
        <v>Ameliorants</v>
      </c>
      <c r="D42" s="420" t="s">
        <v>327</v>
      </c>
      <c r="E42" s="28" t="s">
        <v>411</v>
      </c>
      <c r="F42" s="619" t="s">
        <v>233</v>
      </c>
      <c r="G42" s="619" t="s">
        <v>233</v>
      </c>
      <c r="H42" s="619" t="s">
        <v>233</v>
      </c>
      <c r="I42" s="619" t="s">
        <v>233</v>
      </c>
      <c r="J42" s="619" t="s">
        <v>233</v>
      </c>
      <c r="K42" s="619" t="s">
        <v>233</v>
      </c>
      <c r="L42" s="619" t="s">
        <v>233</v>
      </c>
      <c r="M42" s="619" t="s">
        <v>233</v>
      </c>
      <c r="N42" s="619" t="s">
        <v>233</v>
      </c>
      <c r="O42" s="619" t="s">
        <v>233</v>
      </c>
      <c r="P42" s="619" t="s">
        <v>233</v>
      </c>
      <c r="Q42" s="619" t="s">
        <v>233</v>
      </c>
      <c r="R42" s="397"/>
      <c r="S42" s="420"/>
    </row>
    <row r="43" spans="2:19">
      <c r="B43" s="545"/>
      <c r="C43" s="578"/>
      <c r="D43" s="337" t="s">
        <v>204</v>
      </c>
      <c r="E43" s="28" t="s">
        <v>234</v>
      </c>
      <c r="F43" s="342">
        <f t="shared" ref="F43:Q43" si="29">_xlfn.XLOOKUP(F42,Long_haul_soil_amend_names_volume_CS,Long_haul_soil_amend_rates_volume_CS)</f>
        <v>0.18641557835380454</v>
      </c>
      <c r="G43" s="342">
        <f t="shared" si="29"/>
        <v>0.18641557835380454</v>
      </c>
      <c r="H43" s="342">
        <f t="shared" si="29"/>
        <v>0.18641557835380454</v>
      </c>
      <c r="I43" s="342">
        <f t="shared" si="29"/>
        <v>0.18641557835380454</v>
      </c>
      <c r="J43" s="342">
        <f t="shared" si="29"/>
        <v>0.18641557835380454</v>
      </c>
      <c r="K43" s="342">
        <f t="shared" si="29"/>
        <v>0.18641557835380454</v>
      </c>
      <c r="L43" s="342">
        <f t="shared" si="29"/>
        <v>0.18641557835380454</v>
      </c>
      <c r="M43" s="342">
        <f t="shared" si="29"/>
        <v>0.18641557835380454</v>
      </c>
      <c r="N43" s="342">
        <f t="shared" si="29"/>
        <v>0.18641557835380454</v>
      </c>
      <c r="O43" s="342">
        <f t="shared" si="29"/>
        <v>0.18641557835380454</v>
      </c>
      <c r="P43" s="342">
        <f t="shared" si="29"/>
        <v>0.18641557835380454</v>
      </c>
      <c r="Q43" s="342">
        <f t="shared" si="29"/>
        <v>0.18641557835380454</v>
      </c>
      <c r="R43" s="397"/>
      <c r="S43" s="420"/>
    </row>
    <row r="44" spans="2:19">
      <c r="B44" s="545"/>
      <c r="C44" s="578"/>
      <c r="D44" s="337" t="s">
        <v>206</v>
      </c>
      <c r="E44" s="28" t="s">
        <v>234</v>
      </c>
      <c r="F44" s="414"/>
      <c r="G44" s="414"/>
      <c r="H44" s="414"/>
      <c r="I44" s="414"/>
      <c r="J44" s="414"/>
      <c r="K44" s="414"/>
      <c r="L44" s="414"/>
      <c r="M44" s="414"/>
      <c r="N44" s="414"/>
      <c r="O44" s="414"/>
      <c r="P44" s="414"/>
      <c r="Q44" s="414"/>
      <c r="R44" s="397"/>
      <c r="S44" s="420"/>
    </row>
    <row r="45" spans="2:19">
      <c r="B45" s="548"/>
      <c r="C45" s="578"/>
      <c r="D45" s="420" t="s">
        <v>146</v>
      </c>
      <c r="E45" s="28" t="s">
        <v>207</v>
      </c>
      <c r="F45" s="611">
        <f t="shared" ref="F45:Q45" si="30">F38*_xlfn.XLOOKUP(F42,Long_haul_distance_names_L,Long_haul_distances_average_L)*IF(F44="",F43,F44)</f>
        <v>0</v>
      </c>
      <c r="G45" s="611">
        <f t="shared" si="30"/>
        <v>0</v>
      </c>
      <c r="H45" s="611">
        <f t="shared" si="30"/>
        <v>0</v>
      </c>
      <c r="I45" s="611">
        <f t="shared" si="30"/>
        <v>0</v>
      </c>
      <c r="J45" s="611">
        <f t="shared" si="30"/>
        <v>0</v>
      </c>
      <c r="K45" s="611">
        <f t="shared" si="30"/>
        <v>0</v>
      </c>
      <c r="L45" s="611">
        <f t="shared" si="30"/>
        <v>0</v>
      </c>
      <c r="M45" s="611">
        <f t="shared" si="30"/>
        <v>0</v>
      </c>
      <c r="N45" s="611">
        <f t="shared" si="30"/>
        <v>0</v>
      </c>
      <c r="O45" s="611">
        <f t="shared" si="30"/>
        <v>0</v>
      </c>
      <c r="P45" s="611">
        <f t="shared" si="30"/>
        <v>0</v>
      </c>
      <c r="Q45" s="611">
        <f t="shared" si="30"/>
        <v>0</v>
      </c>
      <c r="R45" s="397"/>
      <c r="S45" s="420"/>
    </row>
    <row r="46" spans="2:19">
      <c r="B46" s="549" t="s">
        <v>1112</v>
      </c>
      <c r="C46" s="610" t="str">
        <f t="shared" ref="C46" si="31">Ameliorants</f>
        <v>Ameliorants</v>
      </c>
      <c r="D46" s="337" t="s">
        <v>204</v>
      </c>
      <c r="E46" s="28" t="s">
        <v>329</v>
      </c>
      <c r="F46" s="342">
        <f>'Cost Schedule'!$D$9</f>
        <v>2323.4444444444448</v>
      </c>
      <c r="G46" s="342">
        <f>'Cost Schedule'!$D$9</f>
        <v>2323.4444444444448</v>
      </c>
      <c r="H46" s="342">
        <f>'Cost Schedule'!$D$9</f>
        <v>2323.4444444444448</v>
      </c>
      <c r="I46" s="342">
        <f>'Cost Schedule'!$D$9</f>
        <v>2323.4444444444448</v>
      </c>
      <c r="J46" s="342">
        <f>'Cost Schedule'!$D$9</f>
        <v>2323.4444444444448</v>
      </c>
      <c r="K46" s="342">
        <f>'Cost Schedule'!$D$9</f>
        <v>2323.4444444444448</v>
      </c>
      <c r="L46" s="342">
        <f>'Cost Schedule'!$D$9</f>
        <v>2323.4444444444448</v>
      </c>
      <c r="M46" s="342">
        <f>'Cost Schedule'!$D$9</f>
        <v>2323.4444444444448</v>
      </c>
      <c r="N46" s="342">
        <f>'Cost Schedule'!$D$9</f>
        <v>2323.4444444444448</v>
      </c>
      <c r="O46" s="342">
        <f>'Cost Schedule'!$D$9</f>
        <v>2323.4444444444448</v>
      </c>
      <c r="P46" s="342">
        <f>'Cost Schedule'!$D$9</f>
        <v>2323.4444444444448</v>
      </c>
      <c r="Q46" s="342">
        <f>'Cost Schedule'!$D$9</f>
        <v>2323.4444444444448</v>
      </c>
      <c r="R46" s="397"/>
      <c r="S46" s="420"/>
    </row>
    <row r="47" spans="2:19">
      <c r="B47" s="545"/>
      <c r="C47" s="578"/>
      <c r="D47" s="337" t="s">
        <v>206</v>
      </c>
      <c r="E47" s="28" t="s">
        <v>329</v>
      </c>
      <c r="F47" s="414"/>
      <c r="G47" s="414"/>
      <c r="H47" s="414"/>
      <c r="I47" s="414"/>
      <c r="J47" s="414"/>
      <c r="K47" s="414"/>
      <c r="L47" s="414"/>
      <c r="M47" s="414"/>
      <c r="N47" s="414"/>
      <c r="O47" s="414"/>
      <c r="P47" s="414"/>
      <c r="Q47" s="414"/>
      <c r="R47" s="397"/>
      <c r="S47" s="420"/>
    </row>
    <row r="48" spans="2:19">
      <c r="B48" s="548"/>
      <c r="C48" s="580"/>
      <c r="D48" s="420" t="s">
        <v>146</v>
      </c>
      <c r="E48" s="28" t="s">
        <v>207</v>
      </c>
      <c r="F48" s="380">
        <f>F35*IF(F47="",F46,F47)</f>
        <v>0</v>
      </c>
      <c r="G48" s="380">
        <f t="shared" ref="G48:I48" si="32">G35*IF(G47="",G46,G47)</f>
        <v>0</v>
      </c>
      <c r="H48" s="380">
        <f t="shared" si="32"/>
        <v>0</v>
      </c>
      <c r="I48" s="380">
        <f t="shared" si="32"/>
        <v>0</v>
      </c>
      <c r="J48" s="380">
        <f t="shared" ref="J48:Q48" si="33">J35*IF(J47="",J46,J47)</f>
        <v>0</v>
      </c>
      <c r="K48" s="380">
        <f t="shared" si="33"/>
        <v>0</v>
      </c>
      <c r="L48" s="380">
        <f t="shared" si="33"/>
        <v>0</v>
      </c>
      <c r="M48" s="380">
        <f t="shared" si="33"/>
        <v>0</v>
      </c>
      <c r="N48" s="380">
        <f t="shared" si="33"/>
        <v>0</v>
      </c>
      <c r="O48" s="380">
        <f t="shared" si="33"/>
        <v>0</v>
      </c>
      <c r="P48" s="380">
        <f t="shared" si="33"/>
        <v>0</v>
      </c>
      <c r="Q48" s="380">
        <f t="shared" si="33"/>
        <v>0</v>
      </c>
      <c r="R48" s="397"/>
      <c r="S48" s="420"/>
    </row>
    <row r="49" spans="2:19" ht="12" thickBot="1">
      <c r="B49" s="550"/>
      <c r="C49" s="551"/>
      <c r="D49" s="552" t="str">
        <f>B33</f>
        <v>Source and apply ameliorants</v>
      </c>
      <c r="E49" s="72"/>
      <c r="F49" s="365">
        <f>F41+F45+F48</f>
        <v>0</v>
      </c>
      <c r="G49" s="365">
        <f t="shared" ref="G49:I49" si="34">G41+G45+G48</f>
        <v>0</v>
      </c>
      <c r="H49" s="365">
        <f t="shared" si="34"/>
        <v>0</v>
      </c>
      <c r="I49" s="365">
        <f t="shared" si="34"/>
        <v>0</v>
      </c>
      <c r="J49" s="365">
        <f t="shared" ref="J49:Q49" si="35">J41+J45+J48</f>
        <v>0</v>
      </c>
      <c r="K49" s="365">
        <f t="shared" si="35"/>
        <v>0</v>
      </c>
      <c r="L49" s="365">
        <f t="shared" si="35"/>
        <v>0</v>
      </c>
      <c r="M49" s="365">
        <f t="shared" si="35"/>
        <v>0</v>
      </c>
      <c r="N49" s="365">
        <f t="shared" si="35"/>
        <v>0</v>
      </c>
      <c r="O49" s="365">
        <f t="shared" si="35"/>
        <v>0</v>
      </c>
      <c r="P49" s="365">
        <f t="shared" si="35"/>
        <v>0</v>
      </c>
      <c r="Q49" s="365">
        <f t="shared" si="35"/>
        <v>0</v>
      </c>
      <c r="R49" s="397"/>
      <c r="S49" s="420"/>
    </row>
    <row r="50" spans="2:19" ht="12" thickTop="1">
      <c r="B50" s="553" t="s">
        <v>1003</v>
      </c>
      <c r="C50" s="610" t="s">
        <v>331</v>
      </c>
      <c r="D50" s="420" t="s">
        <v>623</v>
      </c>
      <c r="E50" s="28" t="s">
        <v>299</v>
      </c>
      <c r="F50" s="385">
        <f>F23</f>
        <v>0</v>
      </c>
      <c r="G50" s="385">
        <f t="shared" ref="G50:I50" si="36">G23</f>
        <v>0</v>
      </c>
      <c r="H50" s="385">
        <f t="shared" si="36"/>
        <v>0</v>
      </c>
      <c r="I50" s="385">
        <f t="shared" si="36"/>
        <v>0</v>
      </c>
      <c r="J50" s="385">
        <f t="shared" ref="J50:Q50" si="37">J23</f>
        <v>0</v>
      </c>
      <c r="K50" s="385">
        <f t="shared" si="37"/>
        <v>0</v>
      </c>
      <c r="L50" s="385">
        <f t="shared" si="37"/>
        <v>0</v>
      </c>
      <c r="M50" s="385">
        <f t="shared" si="37"/>
        <v>0</v>
      </c>
      <c r="N50" s="385">
        <f t="shared" si="37"/>
        <v>0</v>
      </c>
      <c r="O50" s="385">
        <f t="shared" si="37"/>
        <v>0</v>
      </c>
      <c r="P50" s="385">
        <f t="shared" si="37"/>
        <v>0</v>
      </c>
      <c r="Q50" s="385">
        <f t="shared" si="37"/>
        <v>0</v>
      </c>
      <c r="R50" s="397"/>
      <c r="S50" s="420"/>
    </row>
    <row r="51" spans="2:19">
      <c r="B51" s="577"/>
      <c r="C51" s="578"/>
      <c r="D51" s="420" t="s">
        <v>624</v>
      </c>
      <c r="E51" s="28" t="s">
        <v>299</v>
      </c>
      <c r="F51" s="515"/>
      <c r="G51" s="515"/>
      <c r="H51" s="515"/>
      <c r="I51" s="515"/>
      <c r="J51" s="515"/>
      <c r="K51" s="515"/>
      <c r="L51" s="515"/>
      <c r="M51" s="515"/>
      <c r="N51" s="515"/>
      <c r="O51" s="515"/>
      <c r="P51" s="515"/>
      <c r="Q51" s="515"/>
      <c r="R51" s="397"/>
      <c r="S51" s="420"/>
    </row>
    <row r="52" spans="2:19">
      <c r="B52" s="579"/>
      <c r="C52" s="580"/>
      <c r="D52" s="420" t="s">
        <v>625</v>
      </c>
      <c r="E52" s="28" t="s">
        <v>299</v>
      </c>
      <c r="F52" s="385">
        <f t="shared" ref="F52:I52" si="38">IF(F51="",F50,F51)</f>
        <v>0</v>
      </c>
      <c r="G52" s="385">
        <f t="shared" si="38"/>
        <v>0</v>
      </c>
      <c r="H52" s="385">
        <f t="shared" si="38"/>
        <v>0</v>
      </c>
      <c r="I52" s="385">
        <f t="shared" si="38"/>
        <v>0</v>
      </c>
      <c r="J52" s="385">
        <f t="shared" ref="J52:Q52" si="39">IF(J51="",J50,J51)</f>
        <v>0</v>
      </c>
      <c r="K52" s="385">
        <f t="shared" si="39"/>
        <v>0</v>
      </c>
      <c r="L52" s="385">
        <f t="shared" si="39"/>
        <v>0</v>
      </c>
      <c r="M52" s="385">
        <f t="shared" si="39"/>
        <v>0</v>
      </c>
      <c r="N52" s="385">
        <f t="shared" si="39"/>
        <v>0</v>
      </c>
      <c r="O52" s="385">
        <f t="shared" si="39"/>
        <v>0</v>
      </c>
      <c r="P52" s="385">
        <f t="shared" si="39"/>
        <v>0</v>
      </c>
      <c r="Q52" s="385">
        <f t="shared" si="39"/>
        <v>0</v>
      </c>
      <c r="R52" s="397"/>
      <c r="S52" s="420"/>
    </row>
    <row r="53" spans="2:19" ht="22.5">
      <c r="B53" s="553"/>
      <c r="C53" s="578"/>
      <c r="D53" s="420" t="s">
        <v>333</v>
      </c>
      <c r="E53" s="28" t="s">
        <v>123</v>
      </c>
      <c r="F53" s="412" t="s">
        <v>334</v>
      </c>
      <c r="G53" s="412" t="s">
        <v>334</v>
      </c>
      <c r="H53" s="412" t="s">
        <v>334</v>
      </c>
      <c r="I53" s="412" t="s">
        <v>334</v>
      </c>
      <c r="J53" s="412" t="s">
        <v>334</v>
      </c>
      <c r="K53" s="412" t="s">
        <v>334</v>
      </c>
      <c r="L53" s="412" t="s">
        <v>334</v>
      </c>
      <c r="M53" s="412" t="s">
        <v>334</v>
      </c>
      <c r="N53" s="412" t="s">
        <v>334</v>
      </c>
      <c r="O53" s="412" t="s">
        <v>334</v>
      </c>
      <c r="P53" s="412" t="s">
        <v>334</v>
      </c>
      <c r="Q53" s="412" t="s">
        <v>334</v>
      </c>
      <c r="R53" s="397"/>
      <c r="S53" s="420"/>
    </row>
    <row r="54" spans="2:19">
      <c r="B54" s="577"/>
      <c r="C54" s="578"/>
      <c r="D54" s="420" t="s">
        <v>227</v>
      </c>
      <c r="E54" s="28" t="s">
        <v>329</v>
      </c>
      <c r="F54" s="342">
        <f t="shared" ref="F54" si="40">_xlfn.XLOOKUP(F53,Plant_and_seed_names_CS,Plant_and_seed_rates_CS)</f>
        <v>3145.8431763333333</v>
      </c>
      <c r="G54" s="342">
        <f t="shared" ref="G54" si="41">_xlfn.XLOOKUP(G53,Plant_and_seed_names_CS,Plant_and_seed_rates_CS)</f>
        <v>3145.8431763333333</v>
      </c>
      <c r="H54" s="342">
        <f t="shared" ref="H54" si="42">_xlfn.XLOOKUP(H53,Plant_and_seed_names_CS,Plant_and_seed_rates_CS)</f>
        <v>3145.8431763333333</v>
      </c>
      <c r="I54" s="342">
        <f t="shared" ref="I54" si="43">_xlfn.XLOOKUP(I53,Plant_and_seed_names_CS,Plant_and_seed_rates_CS)</f>
        <v>3145.8431763333333</v>
      </c>
      <c r="J54" s="342">
        <f t="shared" ref="J54" si="44">_xlfn.XLOOKUP(J53,Plant_and_seed_names_CS,Plant_and_seed_rates_CS)</f>
        <v>3145.8431763333333</v>
      </c>
      <c r="K54" s="342">
        <f t="shared" ref="K54" si="45">_xlfn.XLOOKUP(K53,Plant_and_seed_names_CS,Plant_and_seed_rates_CS)</f>
        <v>3145.8431763333333</v>
      </c>
      <c r="L54" s="342">
        <f t="shared" ref="L54" si="46">_xlfn.XLOOKUP(L53,Plant_and_seed_names_CS,Plant_and_seed_rates_CS)</f>
        <v>3145.8431763333333</v>
      </c>
      <c r="M54" s="342">
        <f t="shared" ref="M54" si="47">_xlfn.XLOOKUP(M53,Plant_and_seed_names_CS,Plant_and_seed_rates_CS)</f>
        <v>3145.8431763333333</v>
      </c>
      <c r="N54" s="342">
        <f t="shared" ref="N54" si="48">_xlfn.XLOOKUP(N53,Plant_and_seed_names_CS,Plant_and_seed_rates_CS)</f>
        <v>3145.8431763333333</v>
      </c>
      <c r="O54" s="342">
        <f t="shared" ref="O54" si="49">_xlfn.XLOOKUP(O53,Plant_and_seed_names_CS,Plant_and_seed_rates_CS)</f>
        <v>3145.8431763333333</v>
      </c>
      <c r="P54" s="342">
        <f t="shared" ref="P54" si="50">_xlfn.XLOOKUP(P53,Plant_and_seed_names_CS,Plant_and_seed_rates_CS)</f>
        <v>3145.8431763333333</v>
      </c>
      <c r="Q54" s="342">
        <f t="shared" ref="Q54" si="51">_xlfn.XLOOKUP(Q53,Plant_and_seed_names_CS,Plant_and_seed_rates_CS)</f>
        <v>3145.8431763333333</v>
      </c>
      <c r="R54" s="397"/>
      <c r="S54" s="420"/>
    </row>
    <row r="55" spans="2:19">
      <c r="B55" s="577"/>
      <c r="C55" s="578"/>
      <c r="D55" s="427" t="s">
        <v>229</v>
      </c>
      <c r="E55" s="28" t="s">
        <v>329</v>
      </c>
      <c r="F55" s="414"/>
      <c r="G55" s="414"/>
      <c r="H55" s="414"/>
      <c r="I55" s="414"/>
      <c r="J55" s="414"/>
      <c r="K55" s="414"/>
      <c r="L55" s="414"/>
      <c r="M55" s="414"/>
      <c r="N55" s="414"/>
      <c r="O55" s="414"/>
      <c r="P55" s="414"/>
      <c r="Q55" s="414"/>
      <c r="R55" s="397"/>
      <c r="S55" s="420"/>
    </row>
    <row r="56" spans="2:19">
      <c r="B56" s="577"/>
      <c r="C56" s="578"/>
      <c r="D56" s="427" t="s">
        <v>146</v>
      </c>
      <c r="E56" s="28" t="s">
        <v>207</v>
      </c>
      <c r="F56" s="380">
        <f t="shared" ref="F56:Q56" si="52">F52*IF(F55="",F54,F55)</f>
        <v>0</v>
      </c>
      <c r="G56" s="380">
        <f t="shared" si="52"/>
        <v>0</v>
      </c>
      <c r="H56" s="380">
        <f t="shared" si="52"/>
        <v>0</v>
      </c>
      <c r="I56" s="380">
        <f t="shared" si="52"/>
        <v>0</v>
      </c>
      <c r="J56" s="380">
        <f t="shared" si="52"/>
        <v>0</v>
      </c>
      <c r="K56" s="380">
        <f t="shared" si="52"/>
        <v>0</v>
      </c>
      <c r="L56" s="380">
        <f t="shared" si="52"/>
        <v>0</v>
      </c>
      <c r="M56" s="380">
        <f t="shared" si="52"/>
        <v>0</v>
      </c>
      <c r="N56" s="380">
        <f t="shared" si="52"/>
        <v>0</v>
      </c>
      <c r="O56" s="380">
        <f t="shared" si="52"/>
        <v>0</v>
      </c>
      <c r="P56" s="380">
        <f t="shared" si="52"/>
        <v>0</v>
      </c>
      <c r="Q56" s="380">
        <f t="shared" si="52"/>
        <v>0</v>
      </c>
      <c r="R56" s="397"/>
      <c r="S56" s="420"/>
    </row>
    <row r="57" spans="2:19">
      <c r="B57" s="550"/>
      <c r="C57" s="551"/>
      <c r="D57" s="552" t="str">
        <f>B50</f>
        <v>Revegetation</v>
      </c>
      <c r="E57" s="72"/>
      <c r="F57" s="392">
        <f>F56</f>
        <v>0</v>
      </c>
      <c r="G57" s="392">
        <f t="shared" ref="G57:Q57" si="53">G56</f>
        <v>0</v>
      </c>
      <c r="H57" s="392">
        <f t="shared" si="53"/>
        <v>0</v>
      </c>
      <c r="I57" s="392">
        <f t="shared" si="53"/>
        <v>0</v>
      </c>
      <c r="J57" s="392">
        <f t="shared" si="53"/>
        <v>0</v>
      </c>
      <c r="K57" s="392">
        <f t="shared" si="53"/>
        <v>0</v>
      </c>
      <c r="L57" s="392">
        <f t="shared" si="53"/>
        <v>0</v>
      </c>
      <c r="M57" s="392">
        <f t="shared" si="53"/>
        <v>0</v>
      </c>
      <c r="N57" s="392">
        <f t="shared" si="53"/>
        <v>0</v>
      </c>
      <c r="O57" s="392">
        <f t="shared" si="53"/>
        <v>0</v>
      </c>
      <c r="P57" s="392">
        <f t="shared" si="53"/>
        <v>0</v>
      </c>
      <c r="Q57" s="392">
        <f t="shared" si="53"/>
        <v>0</v>
      </c>
      <c r="R57" s="397"/>
      <c r="S57" s="420"/>
    </row>
    <row r="58" spans="2:19" ht="67.5">
      <c r="B58" s="421" t="s">
        <v>534</v>
      </c>
      <c r="C58" s="612"/>
      <c r="D58" s="576" t="s">
        <v>55</v>
      </c>
      <c r="E58" s="28" t="s">
        <v>123</v>
      </c>
      <c r="F58" s="462" t="s">
        <v>889</v>
      </c>
      <c r="G58" s="462" t="s">
        <v>535</v>
      </c>
      <c r="H58" s="462" t="s">
        <v>535</v>
      </c>
      <c r="I58" s="462" t="s">
        <v>535</v>
      </c>
      <c r="J58" s="462" t="s">
        <v>535</v>
      </c>
      <c r="K58" s="462" t="s">
        <v>1113</v>
      </c>
      <c r="L58" s="462" t="s">
        <v>535</v>
      </c>
      <c r="M58" s="462" t="s">
        <v>535</v>
      </c>
      <c r="N58" s="462" t="s">
        <v>535</v>
      </c>
      <c r="O58" s="462" t="s">
        <v>535</v>
      </c>
      <c r="P58" s="462" t="s">
        <v>535</v>
      </c>
      <c r="Q58" s="462" t="s">
        <v>1113</v>
      </c>
      <c r="R58" s="397"/>
      <c r="S58" s="420"/>
    </row>
    <row r="59" spans="2:19">
      <c r="B59" s="581"/>
      <c r="C59" s="582"/>
      <c r="D59" s="576" t="s">
        <v>214</v>
      </c>
      <c r="E59" s="28" t="s">
        <v>299</v>
      </c>
      <c r="F59" s="455"/>
      <c r="G59" s="455"/>
      <c r="H59" s="455"/>
      <c r="I59" s="455"/>
      <c r="J59" s="455"/>
      <c r="K59" s="455"/>
      <c r="L59" s="455"/>
      <c r="M59" s="455"/>
      <c r="N59" s="455"/>
      <c r="O59" s="455"/>
      <c r="P59" s="455"/>
      <c r="Q59" s="455"/>
      <c r="R59" s="397"/>
      <c r="S59" s="420"/>
    </row>
    <row r="60" spans="2:19">
      <c r="B60" s="581"/>
      <c r="C60" s="582"/>
      <c r="D60" s="576" t="s">
        <v>204</v>
      </c>
      <c r="E60" s="28" t="s">
        <v>329</v>
      </c>
      <c r="F60" s="438">
        <f t="shared" ref="F60:I60" si="54">_xlfn.XLOOKUP(F58,Maintenance_rehab_areas_names_CS,Maintenance_rehab_areas_rates_CS)</f>
        <v>156.38726940000001</v>
      </c>
      <c r="G60" s="438">
        <f t="shared" si="54"/>
        <v>1047.9768316769243</v>
      </c>
      <c r="H60" s="438">
        <f t="shared" si="54"/>
        <v>1047.9768316769243</v>
      </c>
      <c r="I60" s="438">
        <f t="shared" si="54"/>
        <v>1047.9768316769243</v>
      </c>
      <c r="J60" s="438">
        <f t="shared" ref="J60:Q60" si="55">_xlfn.XLOOKUP(J58,Maintenance_rehab_areas_names_CS,Maintenance_rehab_areas_rates_CS)</f>
        <v>1047.9768316769243</v>
      </c>
      <c r="K60" s="438">
        <f t="shared" si="55"/>
        <v>32382.535534477211</v>
      </c>
      <c r="L60" s="438">
        <f t="shared" si="55"/>
        <v>1047.9768316769243</v>
      </c>
      <c r="M60" s="438">
        <f t="shared" si="55"/>
        <v>1047.9768316769243</v>
      </c>
      <c r="N60" s="438">
        <f t="shared" si="55"/>
        <v>1047.9768316769243</v>
      </c>
      <c r="O60" s="438">
        <f t="shared" si="55"/>
        <v>1047.9768316769243</v>
      </c>
      <c r="P60" s="438">
        <f t="shared" si="55"/>
        <v>1047.9768316769243</v>
      </c>
      <c r="Q60" s="438">
        <f t="shared" si="55"/>
        <v>32382.535534477211</v>
      </c>
      <c r="R60" s="397"/>
      <c r="S60" s="420"/>
    </row>
    <row r="61" spans="2:19">
      <c r="B61" s="581"/>
      <c r="C61" s="582"/>
      <c r="D61" s="576" t="s">
        <v>206</v>
      </c>
      <c r="E61" s="28" t="s">
        <v>329</v>
      </c>
      <c r="F61" s="414"/>
      <c r="G61" s="414"/>
      <c r="H61" s="414"/>
      <c r="I61" s="414"/>
      <c r="J61" s="414"/>
      <c r="K61" s="414"/>
      <c r="L61" s="414"/>
      <c r="M61" s="414"/>
      <c r="N61" s="414"/>
      <c r="O61" s="414"/>
      <c r="P61" s="414"/>
      <c r="Q61" s="414"/>
      <c r="R61" s="397"/>
      <c r="S61" s="420"/>
    </row>
    <row r="62" spans="2:19">
      <c r="B62" s="583"/>
      <c r="C62" s="584"/>
      <c r="D62" s="576" t="s">
        <v>146</v>
      </c>
      <c r="E62" s="28" t="s">
        <v>207</v>
      </c>
      <c r="F62" s="380">
        <f t="shared" ref="F62" si="56">F59*IF(F61="",F60,F61)</f>
        <v>0</v>
      </c>
      <c r="G62" s="380">
        <f t="shared" ref="G62:I62" si="57">G59*IF(G61="",G60,G61)</f>
        <v>0</v>
      </c>
      <c r="H62" s="380">
        <f t="shared" si="57"/>
        <v>0</v>
      </c>
      <c r="I62" s="380">
        <f t="shared" si="57"/>
        <v>0</v>
      </c>
      <c r="J62" s="380">
        <f t="shared" ref="J62:Q62" si="58">J59*IF(J61="",J60,J61)</f>
        <v>0</v>
      </c>
      <c r="K62" s="380">
        <f t="shared" si="58"/>
        <v>0</v>
      </c>
      <c r="L62" s="380">
        <f t="shared" si="58"/>
        <v>0</v>
      </c>
      <c r="M62" s="380">
        <f t="shared" si="58"/>
        <v>0</v>
      </c>
      <c r="N62" s="380">
        <f t="shared" si="58"/>
        <v>0</v>
      </c>
      <c r="O62" s="380">
        <f t="shared" si="58"/>
        <v>0</v>
      </c>
      <c r="P62" s="380">
        <f t="shared" si="58"/>
        <v>0</v>
      </c>
      <c r="Q62" s="380">
        <f t="shared" si="58"/>
        <v>0</v>
      </c>
      <c r="R62" s="397"/>
      <c r="S62" s="420"/>
    </row>
    <row r="63" spans="2:19">
      <c r="B63" s="585"/>
      <c r="C63" s="586"/>
      <c r="D63" s="587" t="str">
        <f>B58</f>
        <v>Maintenance of Rehabilitated Areas and Repairs</v>
      </c>
      <c r="E63" s="441"/>
      <c r="F63" s="97">
        <f>F62</f>
        <v>0</v>
      </c>
      <c r="G63" s="97">
        <f t="shared" ref="G63:I63" si="59">G62</f>
        <v>0</v>
      </c>
      <c r="H63" s="97">
        <f t="shared" si="59"/>
        <v>0</v>
      </c>
      <c r="I63" s="97">
        <f t="shared" si="59"/>
        <v>0</v>
      </c>
      <c r="J63" s="97">
        <f t="shared" ref="J63:Q63" si="60">J62</f>
        <v>0</v>
      </c>
      <c r="K63" s="97">
        <f t="shared" si="60"/>
        <v>0</v>
      </c>
      <c r="L63" s="97">
        <f t="shared" si="60"/>
        <v>0</v>
      </c>
      <c r="M63" s="97">
        <f t="shared" si="60"/>
        <v>0</v>
      </c>
      <c r="N63" s="97">
        <f t="shared" si="60"/>
        <v>0</v>
      </c>
      <c r="O63" s="97">
        <f t="shared" si="60"/>
        <v>0</v>
      </c>
      <c r="P63" s="97">
        <f t="shared" si="60"/>
        <v>0</v>
      </c>
      <c r="Q63" s="97">
        <f t="shared" si="60"/>
        <v>0</v>
      </c>
      <c r="R63" s="397"/>
      <c r="S63" s="420"/>
    </row>
    <row r="64" spans="2:19" ht="22.5">
      <c r="B64" s="421" t="s">
        <v>744</v>
      </c>
      <c r="C64" s="612"/>
      <c r="D64" s="420" t="s">
        <v>311</v>
      </c>
      <c r="E64" s="28" t="s">
        <v>123</v>
      </c>
      <c r="F64" s="412" t="s">
        <v>745</v>
      </c>
      <c r="G64" s="412" t="s">
        <v>746</v>
      </c>
      <c r="H64" s="412" t="s">
        <v>747</v>
      </c>
      <c r="I64" s="412" t="s">
        <v>568</v>
      </c>
      <c r="J64" s="412" t="s">
        <v>748</v>
      </c>
      <c r="K64" s="412" t="s">
        <v>569</v>
      </c>
      <c r="L64" s="412" t="s">
        <v>565</v>
      </c>
      <c r="M64" s="412" t="s">
        <v>566</v>
      </c>
      <c r="N64" s="412" t="s">
        <v>567</v>
      </c>
      <c r="O64" s="412" t="s">
        <v>570</v>
      </c>
      <c r="P64" s="412" t="s">
        <v>564</v>
      </c>
      <c r="Q64" s="412" t="s">
        <v>564</v>
      </c>
      <c r="R64" s="397"/>
      <c r="S64" s="420"/>
    </row>
    <row r="65" spans="2:19">
      <c r="B65" s="588"/>
      <c r="C65" s="589"/>
      <c r="D65" s="420" t="s">
        <v>355</v>
      </c>
      <c r="E65" s="28" t="s">
        <v>571</v>
      </c>
      <c r="F65" s="454"/>
      <c r="G65" s="454"/>
      <c r="H65" s="454"/>
      <c r="I65" s="454"/>
      <c r="J65" s="454"/>
      <c r="K65" s="454"/>
      <c r="L65" s="454"/>
      <c r="M65" s="454"/>
      <c r="N65" s="454"/>
      <c r="O65" s="454"/>
      <c r="P65" s="454"/>
      <c r="Q65" s="454"/>
      <c r="R65" s="397"/>
      <c r="S65" s="420"/>
    </row>
    <row r="66" spans="2:19">
      <c r="B66" s="588"/>
      <c r="C66" s="589"/>
      <c r="D66" s="420" t="s">
        <v>353</v>
      </c>
      <c r="F66" s="385" t="str">
        <f t="shared" ref="F66:Q66" si="61">_xlfn.XLOOKUP(F64,Waste_names_L,Waste_qty_units_L)</f>
        <v>tonne</v>
      </c>
      <c r="G66" s="385" t="str">
        <f t="shared" si="61"/>
        <v>tonne</v>
      </c>
      <c r="H66" s="385" t="str">
        <f t="shared" si="61"/>
        <v>kL</v>
      </c>
      <c r="I66" s="385" t="str">
        <f t="shared" si="61"/>
        <v>kL</v>
      </c>
      <c r="J66" s="385" t="str">
        <f t="shared" si="61"/>
        <v>tonne</v>
      </c>
      <c r="K66" s="385" t="str">
        <f t="shared" si="61"/>
        <v>m</v>
      </c>
      <c r="L66" s="385" t="str">
        <f t="shared" si="61"/>
        <v>tonne</v>
      </c>
      <c r="M66" s="385" t="str">
        <f t="shared" si="61"/>
        <v>tonne</v>
      </c>
      <c r="N66" s="385" t="str">
        <f t="shared" si="61"/>
        <v>tonne</v>
      </c>
      <c r="O66" s="385" t="str">
        <f t="shared" si="61"/>
        <v>m2</v>
      </c>
      <c r="P66" s="385" t="str">
        <f t="shared" si="61"/>
        <v>m2</v>
      </c>
      <c r="Q66" s="385" t="str">
        <f t="shared" si="61"/>
        <v>m2</v>
      </c>
      <c r="R66" s="397"/>
      <c r="S66" s="420"/>
    </row>
    <row r="67" spans="2:19">
      <c r="B67" s="588"/>
      <c r="C67" s="589"/>
      <c r="D67" s="420" t="s">
        <v>572</v>
      </c>
      <c r="E67" s="28" t="s">
        <v>573</v>
      </c>
      <c r="F67" s="385">
        <f t="shared" ref="F67:I67" si="62">IF(OR(F64=Concrete_rubble_debris_disposal,F64=Steel_disposal,F64=Asbestos_in_soil,F64=Hazardous_waste,F64=Restricted_solid_waste,F64=Low_level_solid_waste,F64=Oil_disposal,F64=Oily_water_disposal),1*F65,IF(F64=Asbestos_from_buildings,F65*Asbestos_sheet_density,IF(F64=Asbestos_from_pipe,F65*Asbestos_pipe_specific_density,IF(F64=Plastic_liner_disposal,F65*Liner_specific_mass))))</f>
        <v>0</v>
      </c>
      <c r="G67" s="385">
        <f t="shared" si="62"/>
        <v>0</v>
      </c>
      <c r="H67" s="385">
        <f t="shared" si="62"/>
        <v>0</v>
      </c>
      <c r="I67" s="385">
        <f t="shared" si="62"/>
        <v>0</v>
      </c>
      <c r="J67" s="385">
        <f t="shared" ref="J67:Q67" si="63">IF(OR(J64=Concrete_rubble_debris_disposal,J64=Steel_disposal,J64=Asbestos_in_soil,J64=Hazardous_waste,J64=Restricted_solid_waste,J64=Low_level_solid_waste,J64=Oil_disposal,J64=Oily_water_disposal),1*J65,IF(J64=Asbestos_from_buildings,J65*Asbestos_sheet_density,IF(J64=Asbestos_from_pipe,J65*Asbestos_pipe_specific_density,IF(J64=Plastic_liner_disposal,J65*Liner_specific_mass))))</f>
        <v>0</v>
      </c>
      <c r="K67" s="385">
        <f t="shared" si="63"/>
        <v>0</v>
      </c>
      <c r="L67" s="385">
        <f t="shared" si="63"/>
        <v>0</v>
      </c>
      <c r="M67" s="385">
        <f t="shared" si="63"/>
        <v>0</v>
      </c>
      <c r="N67" s="385">
        <f t="shared" si="63"/>
        <v>0</v>
      </c>
      <c r="O67" s="385">
        <f t="shared" si="63"/>
        <v>0</v>
      </c>
      <c r="P67" s="385">
        <f t="shared" si="63"/>
        <v>0</v>
      </c>
      <c r="Q67" s="385">
        <f t="shared" si="63"/>
        <v>0</v>
      </c>
      <c r="R67" s="397"/>
      <c r="S67" s="420"/>
    </row>
    <row r="68" spans="2:19">
      <c r="B68" s="588"/>
      <c r="C68" s="589"/>
      <c r="D68" s="420" t="s">
        <v>1114</v>
      </c>
      <c r="E68" s="28" t="s">
        <v>573</v>
      </c>
      <c r="F68" s="455"/>
      <c r="G68" s="455"/>
      <c r="H68" s="455"/>
      <c r="I68" s="455"/>
      <c r="J68" s="455"/>
      <c r="K68" s="455"/>
      <c r="L68" s="455"/>
      <c r="M68" s="455"/>
      <c r="N68" s="455"/>
      <c r="O68" s="455"/>
      <c r="P68" s="455"/>
      <c r="Q68" s="455"/>
      <c r="R68" s="397"/>
      <c r="S68" s="420"/>
    </row>
    <row r="69" spans="2:19">
      <c r="B69" s="588"/>
      <c r="C69" s="589"/>
      <c r="D69" s="420" t="s">
        <v>575</v>
      </c>
      <c r="E69" s="28" t="s">
        <v>573</v>
      </c>
      <c r="F69" s="385">
        <f>IF(F68="",F67,F68)</f>
        <v>0</v>
      </c>
      <c r="G69" s="385">
        <f t="shared" ref="G69:I69" si="64">IF(G68="",G67,G68)</f>
        <v>0</v>
      </c>
      <c r="H69" s="385">
        <f t="shared" si="64"/>
        <v>0</v>
      </c>
      <c r="I69" s="385">
        <f t="shared" si="64"/>
        <v>0</v>
      </c>
      <c r="J69" s="385">
        <f t="shared" ref="J69:Q69" si="65">IF(J68="",J67,J68)</f>
        <v>0</v>
      </c>
      <c r="K69" s="385">
        <f t="shared" si="65"/>
        <v>0</v>
      </c>
      <c r="L69" s="385">
        <f t="shared" si="65"/>
        <v>0</v>
      </c>
      <c r="M69" s="385">
        <f t="shared" si="65"/>
        <v>0</v>
      </c>
      <c r="N69" s="385">
        <f t="shared" si="65"/>
        <v>0</v>
      </c>
      <c r="O69" s="385">
        <f t="shared" si="65"/>
        <v>0</v>
      </c>
      <c r="P69" s="385">
        <f t="shared" si="65"/>
        <v>0</v>
      </c>
      <c r="Q69" s="385">
        <f t="shared" si="65"/>
        <v>0</v>
      </c>
      <c r="R69" s="397"/>
      <c r="S69" s="420"/>
    </row>
    <row r="70" spans="2:19">
      <c r="B70" s="613" t="s">
        <v>576</v>
      </c>
      <c r="C70" s="612"/>
      <c r="D70" s="420" t="s">
        <v>327</v>
      </c>
      <c r="E70" s="28" t="s">
        <v>123</v>
      </c>
      <c r="F70" s="462" t="s">
        <v>545</v>
      </c>
      <c r="G70" s="462" t="s">
        <v>545</v>
      </c>
      <c r="H70" s="462" t="s">
        <v>545</v>
      </c>
      <c r="I70" s="462" t="s">
        <v>545</v>
      </c>
      <c r="J70" s="462" t="s">
        <v>545</v>
      </c>
      <c r="K70" s="462" t="s">
        <v>545</v>
      </c>
      <c r="L70" s="462" t="s">
        <v>545</v>
      </c>
      <c r="M70" s="462" t="s">
        <v>545</v>
      </c>
      <c r="N70" s="462" t="s">
        <v>545</v>
      </c>
      <c r="O70" s="462" t="s">
        <v>545</v>
      </c>
      <c r="P70" s="462" t="s">
        <v>545</v>
      </c>
      <c r="Q70" s="462" t="s">
        <v>545</v>
      </c>
      <c r="R70" s="397"/>
      <c r="S70" s="420"/>
    </row>
    <row r="71" spans="2:19">
      <c r="B71" s="581"/>
      <c r="C71" s="582"/>
      <c r="D71" s="420" t="s">
        <v>579</v>
      </c>
      <c r="E71" s="28" t="s">
        <v>411</v>
      </c>
      <c r="F71" s="385">
        <f t="shared" ref="F71:I71" si="66">_xlfn.XLOOKUP(F70,Long_haul_distance_names_L,Long_haul_distances_average_L)</f>
        <v>17.5</v>
      </c>
      <c r="G71" s="385">
        <f t="shared" si="66"/>
        <v>17.5</v>
      </c>
      <c r="H71" s="385">
        <f t="shared" si="66"/>
        <v>17.5</v>
      </c>
      <c r="I71" s="385">
        <f t="shared" si="66"/>
        <v>17.5</v>
      </c>
      <c r="J71" s="385">
        <f t="shared" ref="J71:Q71" si="67">_xlfn.XLOOKUP(J70,Long_haul_distance_names_L,Long_haul_distances_average_L)</f>
        <v>17.5</v>
      </c>
      <c r="K71" s="385">
        <f t="shared" si="67"/>
        <v>17.5</v>
      </c>
      <c r="L71" s="385">
        <f t="shared" si="67"/>
        <v>17.5</v>
      </c>
      <c r="M71" s="385">
        <f t="shared" si="67"/>
        <v>17.5</v>
      </c>
      <c r="N71" s="385">
        <f t="shared" si="67"/>
        <v>17.5</v>
      </c>
      <c r="O71" s="385">
        <f t="shared" si="67"/>
        <v>17.5</v>
      </c>
      <c r="P71" s="385">
        <f t="shared" si="67"/>
        <v>17.5</v>
      </c>
      <c r="Q71" s="385">
        <f t="shared" si="67"/>
        <v>17.5</v>
      </c>
      <c r="R71" s="397"/>
      <c r="S71" s="420"/>
    </row>
    <row r="72" spans="2:19">
      <c r="B72" s="581"/>
      <c r="C72" s="582"/>
      <c r="D72" s="420" t="s">
        <v>580</v>
      </c>
      <c r="E72" s="28" t="s">
        <v>581</v>
      </c>
      <c r="F72" s="367">
        <f>F71*F69</f>
        <v>0</v>
      </c>
      <c r="G72" s="367">
        <f t="shared" ref="G72:I72" si="68">G71*G69</f>
        <v>0</v>
      </c>
      <c r="H72" s="367">
        <f t="shared" si="68"/>
        <v>0</v>
      </c>
      <c r="I72" s="367">
        <f t="shared" si="68"/>
        <v>0</v>
      </c>
      <c r="J72" s="367">
        <f t="shared" ref="J72:Q72" si="69">J71*J69</f>
        <v>0</v>
      </c>
      <c r="K72" s="367">
        <f t="shared" si="69"/>
        <v>0</v>
      </c>
      <c r="L72" s="367">
        <f t="shared" si="69"/>
        <v>0</v>
      </c>
      <c r="M72" s="367">
        <f t="shared" si="69"/>
        <v>0</v>
      </c>
      <c r="N72" s="367">
        <f t="shared" si="69"/>
        <v>0</v>
      </c>
      <c r="O72" s="367">
        <f t="shared" si="69"/>
        <v>0</v>
      </c>
      <c r="P72" s="367">
        <f t="shared" si="69"/>
        <v>0</v>
      </c>
      <c r="Q72" s="367">
        <f t="shared" si="69"/>
        <v>0</v>
      </c>
      <c r="R72" s="397"/>
      <c r="S72" s="420"/>
    </row>
    <row r="73" spans="2:19">
      <c r="B73" s="581"/>
      <c r="C73" s="582"/>
      <c r="D73" s="420" t="s">
        <v>227</v>
      </c>
      <c r="E73" s="28" t="s">
        <v>582</v>
      </c>
      <c r="F73" s="342">
        <f t="shared" ref="F73:Q73" si="70">IF(OR(F64=Concrete_rubble_debris_disposal,F64=Plastic_liner_disposal,F64=Asbestos_in_soil,F64=Asbestos_from_buildings,F64=Asbestos_from_pipe),_xlfn.XLOOKUP(F70,Long_haul_concrete_rubble_distances_CS,Long_haul_concrete_rubble_rates_CS),IF(OR(F64=Hazardous_waste,F64=Restricted_solid_waste,F64=Low_level_solid_waste),_xlfn.XLOOKUP(F70,Long_haul_soil_amend_names_mass_CS,Long_haul_soil_amend_rates_mass_CS),IF(F64=Oily_water_disposal,_xlfn.XLOOKUP(F70,Load_and_haul_water_names_CS,Load_and_haul_water_rates_CS),IF(F64=Steel_disposal,_xlfn.XLOOKUP(F70,Long_haul_steel_distances_CS,Long_haul_steel_rates_CS),IF(F64=Oil_disposal,_xlfn.XLOOKUP(F70,Long_haul_oil_names_CS,Long_haul_oil_rates_CS))))))</f>
        <v>0.52565650188523994</v>
      </c>
      <c r="G73" s="342">
        <f t="shared" si="70"/>
        <v>0.38521499828001377</v>
      </c>
      <c r="H73" s="342">
        <f t="shared" si="70"/>
        <v>2.4197881741390512</v>
      </c>
      <c r="I73" s="342">
        <f t="shared" si="70"/>
        <v>2.2742178037686811</v>
      </c>
      <c r="J73" s="342">
        <f t="shared" si="70"/>
        <v>0.52565650188523994</v>
      </c>
      <c r="K73" s="342">
        <f t="shared" si="70"/>
        <v>0.52565650188523994</v>
      </c>
      <c r="L73" s="342">
        <f t="shared" si="70"/>
        <v>0.1417191768348206</v>
      </c>
      <c r="M73" s="342">
        <f t="shared" si="70"/>
        <v>0.1417191768348206</v>
      </c>
      <c r="N73" s="342">
        <f t="shared" si="70"/>
        <v>0.1417191768348206</v>
      </c>
      <c r="O73" s="342">
        <f t="shared" si="70"/>
        <v>0.52565650188523994</v>
      </c>
      <c r="P73" s="342">
        <f t="shared" si="70"/>
        <v>0.52565650188523994</v>
      </c>
      <c r="Q73" s="342">
        <f t="shared" si="70"/>
        <v>0.52565650188523994</v>
      </c>
      <c r="R73" s="397"/>
      <c r="S73" s="420"/>
    </row>
    <row r="74" spans="2:19">
      <c r="B74" s="581"/>
      <c r="C74" s="582"/>
      <c r="D74" s="420" t="s">
        <v>229</v>
      </c>
      <c r="E74" s="28" t="s">
        <v>582</v>
      </c>
      <c r="F74" s="414"/>
      <c r="G74" s="414"/>
      <c r="H74" s="414"/>
      <c r="I74" s="414"/>
      <c r="J74" s="414"/>
      <c r="K74" s="414"/>
      <c r="L74" s="414"/>
      <c r="M74" s="414"/>
      <c r="N74" s="414"/>
      <c r="O74" s="414"/>
      <c r="P74" s="414"/>
      <c r="Q74" s="414"/>
      <c r="R74" s="397"/>
      <c r="S74" s="420"/>
    </row>
    <row r="75" spans="2:19">
      <c r="B75" s="583"/>
      <c r="C75" s="584"/>
      <c r="D75" s="420" t="s">
        <v>146</v>
      </c>
      <c r="E75" s="28" t="s">
        <v>207</v>
      </c>
      <c r="F75" s="424">
        <f t="shared" ref="F75:I75" si="71">F72*IF(F74="",F73,F74)</f>
        <v>0</v>
      </c>
      <c r="G75" s="424">
        <f t="shared" si="71"/>
        <v>0</v>
      </c>
      <c r="H75" s="424">
        <f t="shared" si="71"/>
        <v>0</v>
      </c>
      <c r="I75" s="424">
        <f t="shared" si="71"/>
        <v>0</v>
      </c>
      <c r="J75" s="424">
        <f t="shared" ref="J75:Q75" si="72">J72*IF(J74="",J73,J74)</f>
        <v>0</v>
      </c>
      <c r="K75" s="424">
        <f t="shared" si="72"/>
        <v>0</v>
      </c>
      <c r="L75" s="424">
        <f t="shared" si="72"/>
        <v>0</v>
      </c>
      <c r="M75" s="424">
        <f t="shared" si="72"/>
        <v>0</v>
      </c>
      <c r="N75" s="424">
        <f t="shared" si="72"/>
        <v>0</v>
      </c>
      <c r="O75" s="424">
        <f t="shared" si="72"/>
        <v>0</v>
      </c>
      <c r="P75" s="424">
        <f t="shared" si="72"/>
        <v>0</v>
      </c>
      <c r="Q75" s="424">
        <f t="shared" si="72"/>
        <v>0</v>
      </c>
      <c r="R75" s="397"/>
      <c r="S75" s="420"/>
    </row>
    <row r="76" spans="2:19">
      <c r="B76" s="581" t="s">
        <v>583</v>
      </c>
      <c r="C76" s="582"/>
      <c r="D76" s="420" t="s">
        <v>227</v>
      </c>
      <c r="E76" s="28" t="s">
        <v>352</v>
      </c>
      <c r="F76" s="342">
        <f t="shared" ref="F76:Q76" si="73">_xlfn.XLOOKUP(F64,Waste_gate_fee_names_R,Waste_gate_fee_rates_R)</f>
        <v>80</v>
      </c>
      <c r="G76" s="342">
        <f t="shared" si="73"/>
        <v>0</v>
      </c>
      <c r="H76" s="342">
        <f t="shared" si="73"/>
        <v>2000</v>
      </c>
      <c r="I76" s="342">
        <f t="shared" si="73"/>
        <v>330</v>
      </c>
      <c r="J76" s="342">
        <f t="shared" si="73"/>
        <v>300</v>
      </c>
      <c r="K76" s="342">
        <f t="shared" si="73"/>
        <v>80</v>
      </c>
      <c r="L76" s="342">
        <f t="shared" si="73"/>
        <v>800</v>
      </c>
      <c r="M76" s="342">
        <f t="shared" si="73"/>
        <v>460</v>
      </c>
      <c r="N76" s="342">
        <f t="shared" si="73"/>
        <v>80</v>
      </c>
      <c r="O76" s="342">
        <f t="shared" si="73"/>
        <v>0.16799999999999998</v>
      </c>
      <c r="P76" s="342">
        <f t="shared" si="73"/>
        <v>460</v>
      </c>
      <c r="Q76" s="342">
        <f t="shared" si="73"/>
        <v>460</v>
      </c>
      <c r="R76" s="397"/>
      <c r="S76" s="420"/>
    </row>
    <row r="77" spans="2:19">
      <c r="B77" s="581"/>
      <c r="C77" s="582"/>
      <c r="D77" s="420" t="s">
        <v>229</v>
      </c>
      <c r="E77" s="28" t="s">
        <v>352</v>
      </c>
      <c r="F77" s="414"/>
      <c r="G77" s="414"/>
      <c r="H77" s="414"/>
      <c r="I77" s="414"/>
      <c r="J77" s="414"/>
      <c r="K77" s="414"/>
      <c r="L77" s="414"/>
      <c r="M77" s="414"/>
      <c r="N77" s="414"/>
      <c r="O77" s="414"/>
      <c r="P77" s="414"/>
      <c r="Q77" s="414"/>
      <c r="R77" s="397"/>
      <c r="S77" s="420"/>
    </row>
    <row r="78" spans="2:19">
      <c r="B78" s="583"/>
      <c r="C78" s="584"/>
      <c r="D78" s="420" t="s">
        <v>146</v>
      </c>
      <c r="E78" s="28" t="s">
        <v>207</v>
      </c>
      <c r="F78" s="424">
        <f>IF(F77="",F76,F77)*F69</f>
        <v>0</v>
      </c>
      <c r="G78" s="424">
        <f t="shared" ref="G78:I78" si="74">IF(G77="",G76,G77)*G69</f>
        <v>0</v>
      </c>
      <c r="H78" s="424">
        <f t="shared" si="74"/>
        <v>0</v>
      </c>
      <c r="I78" s="424">
        <f t="shared" si="74"/>
        <v>0</v>
      </c>
      <c r="J78" s="424">
        <f t="shared" ref="J78:Q78" si="75">IF(J77="",J76,J77)*J69</f>
        <v>0</v>
      </c>
      <c r="K78" s="424">
        <f t="shared" si="75"/>
        <v>0</v>
      </c>
      <c r="L78" s="424">
        <f t="shared" si="75"/>
        <v>0</v>
      </c>
      <c r="M78" s="424">
        <f t="shared" si="75"/>
        <v>0</v>
      </c>
      <c r="N78" s="424">
        <f t="shared" si="75"/>
        <v>0</v>
      </c>
      <c r="O78" s="424">
        <f t="shared" si="75"/>
        <v>0</v>
      </c>
      <c r="P78" s="424">
        <f t="shared" si="75"/>
        <v>0</v>
      </c>
      <c r="Q78" s="424">
        <f t="shared" si="75"/>
        <v>0</v>
      </c>
      <c r="R78" s="397"/>
      <c r="S78" s="420"/>
    </row>
    <row r="79" spans="2:19" ht="22.5">
      <c r="B79" s="613" t="s">
        <v>585</v>
      </c>
      <c r="C79" s="612"/>
      <c r="D79" s="420" t="s">
        <v>311</v>
      </c>
      <c r="E79" s="28" t="s">
        <v>123</v>
      </c>
      <c r="F79" s="462" t="s">
        <v>586</v>
      </c>
      <c r="G79" s="462" t="s">
        <v>586</v>
      </c>
      <c r="H79" s="462" t="s">
        <v>586</v>
      </c>
      <c r="I79" s="462" t="s">
        <v>586</v>
      </c>
      <c r="J79" s="462" t="s">
        <v>586</v>
      </c>
      <c r="K79" s="462" t="s">
        <v>586</v>
      </c>
      <c r="L79" s="462" t="s">
        <v>586</v>
      </c>
      <c r="M79" s="462" t="s">
        <v>586</v>
      </c>
      <c r="N79" s="462" t="s">
        <v>586</v>
      </c>
      <c r="O79" s="462" t="s">
        <v>586</v>
      </c>
      <c r="P79" s="462" t="s">
        <v>586</v>
      </c>
      <c r="Q79" s="462" t="s">
        <v>586</v>
      </c>
      <c r="R79" s="397"/>
      <c r="S79" s="420"/>
    </row>
    <row r="80" spans="2:19">
      <c r="B80" s="581"/>
      <c r="C80" s="582"/>
      <c r="D80" s="420" t="s">
        <v>322</v>
      </c>
      <c r="E80" s="28" t="s">
        <v>221</v>
      </c>
      <c r="F80" s="385">
        <f>IF(F66="kL",0,F69)</f>
        <v>0</v>
      </c>
      <c r="G80" s="385">
        <f t="shared" ref="G80:I80" si="76">IF(G66="kL",0,G69)</f>
        <v>0</v>
      </c>
      <c r="H80" s="385">
        <f t="shared" si="76"/>
        <v>0</v>
      </c>
      <c r="I80" s="385">
        <f t="shared" si="76"/>
        <v>0</v>
      </c>
      <c r="J80" s="385">
        <f t="shared" ref="J80:Q80" si="77">IF(J66="kL",0,J69)</f>
        <v>0</v>
      </c>
      <c r="K80" s="385">
        <f t="shared" si="77"/>
        <v>0</v>
      </c>
      <c r="L80" s="385">
        <f t="shared" si="77"/>
        <v>0</v>
      </c>
      <c r="M80" s="385">
        <f t="shared" si="77"/>
        <v>0</v>
      </c>
      <c r="N80" s="385">
        <f t="shared" si="77"/>
        <v>0</v>
      </c>
      <c r="O80" s="385">
        <f t="shared" si="77"/>
        <v>0</v>
      </c>
      <c r="P80" s="385">
        <f t="shared" si="77"/>
        <v>0</v>
      </c>
      <c r="Q80" s="385">
        <f t="shared" si="77"/>
        <v>0</v>
      </c>
      <c r="R80" s="397"/>
      <c r="S80" s="420"/>
    </row>
    <row r="81" spans="2:19">
      <c r="B81" s="581"/>
      <c r="C81" s="582"/>
      <c r="D81" s="420" t="s">
        <v>227</v>
      </c>
      <c r="E81" s="28" t="s">
        <v>228</v>
      </c>
      <c r="F81" s="342">
        <f t="shared" ref="F81:I81" si="78">_xlfn.XLOOKUP(F79,Waste_levy_names_R,Waste_levy_rates_R)</f>
        <v>97.9</v>
      </c>
      <c r="G81" s="342">
        <f t="shared" si="78"/>
        <v>97.9</v>
      </c>
      <c r="H81" s="342">
        <f t="shared" si="78"/>
        <v>97.9</v>
      </c>
      <c r="I81" s="342">
        <f t="shared" si="78"/>
        <v>97.9</v>
      </c>
      <c r="J81" s="342">
        <f t="shared" ref="J81:Q81" si="79">_xlfn.XLOOKUP(J79,Waste_levy_names_R,Waste_levy_rates_R)</f>
        <v>97.9</v>
      </c>
      <c r="K81" s="342">
        <f t="shared" si="79"/>
        <v>97.9</v>
      </c>
      <c r="L81" s="342">
        <f t="shared" si="79"/>
        <v>97.9</v>
      </c>
      <c r="M81" s="342">
        <f t="shared" si="79"/>
        <v>97.9</v>
      </c>
      <c r="N81" s="342">
        <f t="shared" si="79"/>
        <v>97.9</v>
      </c>
      <c r="O81" s="342">
        <f t="shared" si="79"/>
        <v>97.9</v>
      </c>
      <c r="P81" s="342">
        <f t="shared" si="79"/>
        <v>97.9</v>
      </c>
      <c r="Q81" s="342">
        <f t="shared" si="79"/>
        <v>97.9</v>
      </c>
      <c r="R81" s="397"/>
      <c r="S81" s="420"/>
    </row>
    <row r="82" spans="2:19">
      <c r="B82" s="581"/>
      <c r="C82" s="582"/>
      <c r="D82" s="420" t="s">
        <v>229</v>
      </c>
      <c r="E82" s="28" t="s">
        <v>228</v>
      </c>
      <c r="F82" s="414"/>
      <c r="G82" s="414"/>
      <c r="H82" s="414"/>
      <c r="I82" s="414"/>
      <c r="J82" s="414"/>
      <c r="K82" s="414"/>
      <c r="L82" s="414"/>
      <c r="M82" s="414"/>
      <c r="N82" s="414"/>
      <c r="O82" s="414"/>
      <c r="P82" s="414"/>
      <c r="Q82" s="414"/>
      <c r="R82" s="397"/>
      <c r="S82" s="420"/>
    </row>
    <row r="83" spans="2:19">
      <c r="B83" s="583"/>
      <c r="C83" s="584"/>
      <c r="D83" s="420" t="s">
        <v>146</v>
      </c>
      <c r="E83" s="28" t="s">
        <v>207</v>
      </c>
      <c r="F83" s="424">
        <f t="shared" ref="F83:I83" si="80">IF(F82="",F81,F82)*F80</f>
        <v>0</v>
      </c>
      <c r="G83" s="424">
        <f t="shared" si="80"/>
        <v>0</v>
      </c>
      <c r="H83" s="424">
        <f t="shared" si="80"/>
        <v>0</v>
      </c>
      <c r="I83" s="424">
        <f t="shared" si="80"/>
        <v>0</v>
      </c>
      <c r="J83" s="424">
        <f t="shared" ref="J83:Q83" si="81">IF(J82="",J81,J82)*J80</f>
        <v>0</v>
      </c>
      <c r="K83" s="424">
        <f t="shared" si="81"/>
        <v>0</v>
      </c>
      <c r="L83" s="424">
        <f t="shared" si="81"/>
        <v>0</v>
      </c>
      <c r="M83" s="424">
        <f t="shared" si="81"/>
        <v>0</v>
      </c>
      <c r="N83" s="424">
        <f t="shared" si="81"/>
        <v>0</v>
      </c>
      <c r="O83" s="424">
        <f t="shared" si="81"/>
        <v>0</v>
      </c>
      <c r="P83" s="424">
        <f t="shared" si="81"/>
        <v>0</v>
      </c>
      <c r="Q83" s="424">
        <f t="shared" si="81"/>
        <v>0</v>
      </c>
      <c r="R83" s="397"/>
      <c r="S83" s="420"/>
    </row>
    <row r="84" spans="2:19" ht="12" thickBot="1">
      <c r="B84" s="592"/>
      <c r="C84" s="551"/>
      <c r="D84" s="552" t="str">
        <f>B64</f>
        <v>Waste Disposal</v>
      </c>
      <c r="E84" s="72"/>
      <c r="F84" s="365">
        <f>F75+F78+F83</f>
        <v>0</v>
      </c>
      <c r="G84" s="365">
        <f>G75+G78+G83</f>
        <v>0</v>
      </c>
      <c r="H84" s="365">
        <f>H75+H78+H83</f>
        <v>0</v>
      </c>
      <c r="I84" s="365">
        <f>I75+I78+I83</f>
        <v>0</v>
      </c>
      <c r="J84" s="365">
        <f t="shared" ref="J84:Q84" si="82">J75+J78+J83</f>
        <v>0</v>
      </c>
      <c r="K84" s="365">
        <f t="shared" si="82"/>
        <v>0</v>
      </c>
      <c r="L84" s="365">
        <f t="shared" si="82"/>
        <v>0</v>
      </c>
      <c r="M84" s="365">
        <f t="shared" si="82"/>
        <v>0</v>
      </c>
      <c r="N84" s="365">
        <f t="shared" si="82"/>
        <v>0</v>
      </c>
      <c r="O84" s="365">
        <f t="shared" si="82"/>
        <v>0</v>
      </c>
      <c r="P84" s="365">
        <f t="shared" si="82"/>
        <v>0</v>
      </c>
      <c r="Q84" s="365">
        <f t="shared" si="82"/>
        <v>0</v>
      </c>
      <c r="R84" s="397"/>
      <c r="S84" s="420"/>
    </row>
    <row r="85" spans="2:19" ht="12" thickTop="1">
      <c r="B85" s="609" t="s">
        <v>589</v>
      </c>
      <c r="C85" s="610" t="s">
        <v>749</v>
      </c>
      <c r="D85" s="420" t="s">
        <v>591</v>
      </c>
      <c r="E85" s="28" t="s">
        <v>219</v>
      </c>
      <c r="F85" s="455"/>
      <c r="G85" s="455"/>
      <c r="H85" s="455"/>
      <c r="I85" s="455"/>
      <c r="J85" s="455"/>
      <c r="K85" s="455"/>
      <c r="L85" s="455"/>
      <c r="M85" s="455"/>
      <c r="N85" s="455"/>
      <c r="O85" s="455"/>
      <c r="P85" s="455"/>
      <c r="Q85" s="455"/>
      <c r="R85" s="397"/>
      <c r="S85" s="420"/>
    </row>
    <row r="86" spans="2:19">
      <c r="B86" s="581"/>
      <c r="C86" s="614"/>
      <c r="D86" s="420" t="s">
        <v>204</v>
      </c>
      <c r="E86" s="28" t="s">
        <v>352</v>
      </c>
      <c r="F86" s="342">
        <f>IF(F85=0,0,IF(F85&lt;=Biopile_minimum_volume_for_lump_sum_cost,'Cost Schedule'!$D$86,'Cost Schedule'!$D$87))</f>
        <v>0</v>
      </c>
      <c r="G86" s="342">
        <f>IF(G85=0,0,IF(G85&lt;=Biopile_minimum_volume_for_lump_sum_cost,'Cost Schedule'!$D$86,'Cost Schedule'!$D$87))</f>
        <v>0</v>
      </c>
      <c r="H86" s="342">
        <f>IF(H85=0,0,IF(H85&lt;=Biopile_minimum_volume_for_lump_sum_cost,'Cost Schedule'!$D$86,'Cost Schedule'!$D$87))</f>
        <v>0</v>
      </c>
      <c r="I86" s="342">
        <f>IF(I85=0,0,IF(I85&lt;=Biopile_minimum_volume_for_lump_sum_cost,'Cost Schedule'!$D$86,'Cost Schedule'!$D$87))</f>
        <v>0</v>
      </c>
      <c r="J86" s="342">
        <f>IF(J85=0,0,IF(J85&lt;=Biopile_minimum_volume_for_lump_sum_cost,'Cost Schedule'!$D$86,'Cost Schedule'!$D$87))</f>
        <v>0</v>
      </c>
      <c r="K86" s="342">
        <f>IF(K85=0,0,IF(K85&lt;=Biopile_minimum_volume_for_lump_sum_cost,'Cost Schedule'!$D$86,'Cost Schedule'!$D$87))</f>
        <v>0</v>
      </c>
      <c r="L86" s="342">
        <f>IF(L85=0,0,IF(L85&lt;=Biopile_minimum_volume_for_lump_sum_cost,'Cost Schedule'!$D$86,'Cost Schedule'!$D$87))</f>
        <v>0</v>
      </c>
      <c r="M86" s="342">
        <f>IF(M85=0,0,IF(M85&lt;=Biopile_minimum_volume_for_lump_sum_cost,'Cost Schedule'!$D$86,'Cost Schedule'!$D$87))</f>
        <v>0</v>
      </c>
      <c r="N86" s="342">
        <f>IF(N85=0,0,IF(N85&lt;=Biopile_minimum_volume_for_lump_sum_cost,'Cost Schedule'!$D$86,'Cost Schedule'!$D$87))</f>
        <v>0</v>
      </c>
      <c r="O86" s="342">
        <f>IF(O85=0,0,IF(O85&lt;=Biopile_minimum_volume_for_lump_sum_cost,'Cost Schedule'!$D$86,'Cost Schedule'!$D$87))</f>
        <v>0</v>
      </c>
      <c r="P86" s="342">
        <f>IF(P85=0,0,IF(P85&lt;=Biopile_minimum_volume_for_lump_sum_cost,'Cost Schedule'!$D$86,'Cost Schedule'!$D$87))</f>
        <v>0</v>
      </c>
      <c r="Q86" s="342">
        <f>IF(Q85=0,0,IF(Q85&lt;=Biopile_minimum_volume_for_lump_sum_cost,'Cost Schedule'!$D$86,'Cost Schedule'!$D$87))</f>
        <v>0</v>
      </c>
      <c r="R86" s="397"/>
      <c r="S86" s="420"/>
    </row>
    <row r="87" spans="2:19">
      <c r="B87" s="581"/>
      <c r="C87" s="614"/>
      <c r="D87" s="420" t="s">
        <v>592</v>
      </c>
      <c r="E87" s="28" t="s">
        <v>592</v>
      </c>
      <c r="F87" s="447" t="str">
        <f t="shared" ref="F87:Q87" si="83">IF(F85&lt;=Biopile_minimum_volume_for_lump_sum_cost,"$","$/m3")</f>
        <v>$</v>
      </c>
      <c r="G87" s="447" t="str">
        <f t="shared" si="83"/>
        <v>$</v>
      </c>
      <c r="H87" s="447" t="str">
        <f t="shared" si="83"/>
        <v>$</v>
      </c>
      <c r="I87" s="447" t="str">
        <f t="shared" si="83"/>
        <v>$</v>
      </c>
      <c r="J87" s="447" t="str">
        <f t="shared" si="83"/>
        <v>$</v>
      </c>
      <c r="K87" s="447" t="str">
        <f t="shared" si="83"/>
        <v>$</v>
      </c>
      <c r="L87" s="447" t="str">
        <f t="shared" si="83"/>
        <v>$</v>
      </c>
      <c r="M87" s="447" t="str">
        <f t="shared" si="83"/>
        <v>$</v>
      </c>
      <c r="N87" s="447" t="str">
        <f t="shared" si="83"/>
        <v>$</v>
      </c>
      <c r="O87" s="447" t="str">
        <f t="shared" si="83"/>
        <v>$</v>
      </c>
      <c r="P87" s="447" t="str">
        <f t="shared" si="83"/>
        <v>$</v>
      </c>
      <c r="Q87" s="447" t="str">
        <f t="shared" si="83"/>
        <v>$</v>
      </c>
      <c r="R87" s="397"/>
      <c r="S87" s="420"/>
    </row>
    <row r="88" spans="2:19">
      <c r="B88" s="581"/>
      <c r="C88" s="614"/>
      <c r="D88" s="420" t="s">
        <v>229</v>
      </c>
      <c r="E88" s="28" t="s">
        <v>593</v>
      </c>
      <c r="F88" s="414"/>
      <c r="G88" s="414"/>
      <c r="H88" s="414"/>
      <c r="I88" s="414"/>
      <c r="J88" s="414"/>
      <c r="K88" s="414"/>
      <c r="L88" s="414"/>
      <c r="M88" s="414"/>
      <c r="N88" s="414"/>
      <c r="O88" s="414"/>
      <c r="P88" s="414"/>
      <c r="Q88" s="414"/>
      <c r="R88" s="397"/>
      <c r="S88" s="420"/>
    </row>
    <row r="89" spans="2:19">
      <c r="B89" s="581"/>
      <c r="C89" s="608"/>
      <c r="D89" s="420" t="s">
        <v>146</v>
      </c>
      <c r="E89" s="28" t="s">
        <v>207</v>
      </c>
      <c r="F89" s="448">
        <f t="shared" ref="F89:Q89" si="84">IF(AND(F85&lt;=Biopile_minimum_volume_for_lump_sum_cost,F88=""),F86,IF(AND(F85&lt;=Biopile_minimum_volume_for_lump_sum_cost,F88&lt;&gt;""),F88,F85*IF(F88="",F86,F88)))</f>
        <v>0</v>
      </c>
      <c r="G89" s="448">
        <f t="shared" si="84"/>
        <v>0</v>
      </c>
      <c r="H89" s="448">
        <f t="shared" si="84"/>
        <v>0</v>
      </c>
      <c r="I89" s="448">
        <f t="shared" si="84"/>
        <v>0</v>
      </c>
      <c r="J89" s="448">
        <f t="shared" si="84"/>
        <v>0</v>
      </c>
      <c r="K89" s="448">
        <f t="shared" si="84"/>
        <v>0</v>
      </c>
      <c r="L89" s="448">
        <f t="shared" si="84"/>
        <v>0</v>
      </c>
      <c r="M89" s="448">
        <f t="shared" si="84"/>
        <v>0</v>
      </c>
      <c r="N89" s="448">
        <f t="shared" si="84"/>
        <v>0</v>
      </c>
      <c r="O89" s="448">
        <f t="shared" si="84"/>
        <v>0</v>
      </c>
      <c r="P89" s="448">
        <f t="shared" si="84"/>
        <v>0</v>
      </c>
      <c r="Q89" s="448">
        <f t="shared" si="84"/>
        <v>0</v>
      </c>
      <c r="R89" s="397"/>
      <c r="S89" s="420"/>
    </row>
    <row r="90" spans="2:19" ht="33.75">
      <c r="B90" s="581"/>
      <c r="C90" s="610" t="s">
        <v>594</v>
      </c>
      <c r="D90" s="420" t="s">
        <v>311</v>
      </c>
      <c r="E90" s="28" t="s">
        <v>123</v>
      </c>
      <c r="F90" s="462" t="s">
        <v>596</v>
      </c>
      <c r="G90" s="462" t="s">
        <v>595</v>
      </c>
      <c r="H90" s="462" t="s">
        <v>596</v>
      </c>
      <c r="I90" s="462" t="s">
        <v>596</v>
      </c>
      <c r="J90" s="462" t="s">
        <v>596</v>
      </c>
      <c r="K90" s="462" t="s">
        <v>596</v>
      </c>
      <c r="L90" s="462" t="s">
        <v>596</v>
      </c>
      <c r="M90" s="462" t="s">
        <v>596</v>
      </c>
      <c r="N90" s="462" t="s">
        <v>596</v>
      </c>
      <c r="O90" s="462" t="s">
        <v>596</v>
      </c>
      <c r="P90" s="462" t="s">
        <v>596</v>
      </c>
      <c r="Q90" s="462" t="s">
        <v>596</v>
      </c>
      <c r="R90" s="397"/>
      <c r="S90" s="420"/>
    </row>
    <row r="91" spans="2:19">
      <c r="B91" s="581"/>
      <c r="C91" s="614"/>
      <c r="D91" s="420" t="s">
        <v>355</v>
      </c>
      <c r="F91" s="455"/>
      <c r="G91" s="455"/>
      <c r="H91" s="455"/>
      <c r="I91" s="455"/>
      <c r="J91" s="455"/>
      <c r="K91" s="455"/>
      <c r="L91" s="455"/>
      <c r="M91" s="455"/>
      <c r="N91" s="455"/>
      <c r="O91" s="455"/>
      <c r="P91" s="455"/>
      <c r="Q91" s="455"/>
      <c r="R91" s="397"/>
      <c r="S91" s="420"/>
    </row>
    <row r="92" spans="2:19">
      <c r="B92" s="581"/>
      <c r="C92" s="614"/>
      <c r="D92" s="420" t="s">
        <v>353</v>
      </c>
      <c r="F92" s="385" t="str">
        <f t="shared" ref="F92:Q92" si="85">_xlfn.XLOOKUP(F90,Contaminated_soil_names_CS,Contaminated_soil_units_CS)</f>
        <v>t</v>
      </c>
      <c r="G92" s="385" t="str">
        <f t="shared" si="85"/>
        <v>m3</v>
      </c>
      <c r="H92" s="385" t="str">
        <f t="shared" si="85"/>
        <v>t</v>
      </c>
      <c r="I92" s="385" t="str">
        <f t="shared" si="85"/>
        <v>t</v>
      </c>
      <c r="J92" s="385" t="str">
        <f t="shared" si="85"/>
        <v>t</v>
      </c>
      <c r="K92" s="385" t="str">
        <f t="shared" si="85"/>
        <v>t</v>
      </c>
      <c r="L92" s="385" t="str">
        <f t="shared" si="85"/>
        <v>t</v>
      </c>
      <c r="M92" s="385" t="str">
        <f t="shared" si="85"/>
        <v>t</v>
      </c>
      <c r="N92" s="385" t="str">
        <f t="shared" si="85"/>
        <v>t</v>
      </c>
      <c r="O92" s="385" t="str">
        <f t="shared" si="85"/>
        <v>t</v>
      </c>
      <c r="P92" s="385" t="str">
        <f t="shared" si="85"/>
        <v>t</v>
      </c>
      <c r="Q92" s="385" t="str">
        <f t="shared" si="85"/>
        <v>t</v>
      </c>
      <c r="R92" s="397"/>
      <c r="S92" s="420"/>
    </row>
    <row r="93" spans="2:19">
      <c r="B93" s="581"/>
      <c r="C93" s="614"/>
      <c r="D93" s="420" t="s">
        <v>227</v>
      </c>
      <c r="E93" s="28" t="s">
        <v>352</v>
      </c>
      <c r="F93" s="342">
        <f t="shared" ref="F93:Q93" si="86">_xlfn.XLOOKUP(F90,Contaminated_soil_names_CS,Contaminated_soil_rates_CS)</f>
        <v>400</v>
      </c>
      <c r="G93" s="342">
        <f t="shared" si="86"/>
        <v>34.320540423513727</v>
      </c>
      <c r="H93" s="342">
        <f t="shared" si="86"/>
        <v>400</v>
      </c>
      <c r="I93" s="342">
        <f t="shared" si="86"/>
        <v>400</v>
      </c>
      <c r="J93" s="342">
        <f t="shared" si="86"/>
        <v>400</v>
      </c>
      <c r="K93" s="342">
        <f t="shared" si="86"/>
        <v>400</v>
      </c>
      <c r="L93" s="342">
        <f t="shared" si="86"/>
        <v>400</v>
      </c>
      <c r="M93" s="342">
        <f t="shared" si="86"/>
        <v>400</v>
      </c>
      <c r="N93" s="342">
        <f t="shared" si="86"/>
        <v>400</v>
      </c>
      <c r="O93" s="342">
        <f t="shared" si="86"/>
        <v>400</v>
      </c>
      <c r="P93" s="342">
        <f t="shared" si="86"/>
        <v>400</v>
      </c>
      <c r="Q93" s="342">
        <f t="shared" si="86"/>
        <v>400</v>
      </c>
      <c r="R93" s="397"/>
      <c r="S93" s="420"/>
    </row>
    <row r="94" spans="2:19">
      <c r="B94" s="581"/>
      <c r="C94" s="614"/>
      <c r="D94" s="420" t="s">
        <v>229</v>
      </c>
      <c r="E94" s="28" t="s">
        <v>352</v>
      </c>
      <c r="F94" s="414"/>
      <c r="G94" s="414"/>
      <c r="H94" s="414"/>
      <c r="I94" s="414"/>
      <c r="J94" s="414"/>
      <c r="K94" s="414"/>
      <c r="L94" s="414"/>
      <c r="M94" s="414"/>
      <c r="N94" s="414"/>
      <c r="O94" s="414"/>
      <c r="P94" s="414"/>
      <c r="Q94" s="414"/>
      <c r="R94" s="397"/>
      <c r="S94" s="420"/>
    </row>
    <row r="95" spans="2:19">
      <c r="B95" s="583"/>
      <c r="C95" s="608"/>
      <c r="D95" s="420" t="s">
        <v>146</v>
      </c>
      <c r="E95" s="28" t="s">
        <v>207</v>
      </c>
      <c r="F95" s="424">
        <f>IF(F94="",F93,F94)*F91</f>
        <v>0</v>
      </c>
      <c r="G95" s="424">
        <f>IF(G94="",G93,G94)*G91</f>
        <v>0</v>
      </c>
      <c r="H95" s="424">
        <f>IF(H94="",H93,H94)*H91</f>
        <v>0</v>
      </c>
      <c r="I95" s="424">
        <f>IF(I94="",I93,I94)*I91</f>
        <v>0</v>
      </c>
      <c r="J95" s="424">
        <f t="shared" ref="J95:Q95" si="87">IF(J94="",J93,J94)*J91</f>
        <v>0</v>
      </c>
      <c r="K95" s="424">
        <f t="shared" si="87"/>
        <v>0</v>
      </c>
      <c r="L95" s="424">
        <f t="shared" si="87"/>
        <v>0</v>
      </c>
      <c r="M95" s="424">
        <f t="shared" si="87"/>
        <v>0</v>
      </c>
      <c r="N95" s="424">
        <f t="shared" si="87"/>
        <v>0</v>
      </c>
      <c r="O95" s="424">
        <f t="shared" si="87"/>
        <v>0</v>
      </c>
      <c r="P95" s="424">
        <f t="shared" si="87"/>
        <v>0</v>
      </c>
      <c r="Q95" s="424">
        <f t="shared" si="87"/>
        <v>0</v>
      </c>
      <c r="R95" s="397"/>
      <c r="S95" s="420"/>
    </row>
    <row r="96" spans="2:19" ht="12" thickBot="1">
      <c r="B96" s="592"/>
      <c r="C96" s="551"/>
      <c r="D96" s="552" t="str">
        <f>B85</f>
        <v>Contaminated soil treat on-site</v>
      </c>
      <c r="E96" s="72"/>
      <c r="F96" s="365">
        <f>F89+F95</f>
        <v>0</v>
      </c>
      <c r="G96" s="365">
        <f>G89+G95</f>
        <v>0</v>
      </c>
      <c r="H96" s="365">
        <f>H89+H95</f>
        <v>0</v>
      </c>
      <c r="I96" s="365">
        <f>I89+I95</f>
        <v>0</v>
      </c>
      <c r="J96" s="365">
        <f t="shared" ref="J96:Q96" si="88">J89+J95</f>
        <v>0</v>
      </c>
      <c r="K96" s="365">
        <f t="shared" si="88"/>
        <v>0</v>
      </c>
      <c r="L96" s="365">
        <f t="shared" si="88"/>
        <v>0</v>
      </c>
      <c r="M96" s="365">
        <f t="shared" si="88"/>
        <v>0</v>
      </c>
      <c r="N96" s="365">
        <f t="shared" si="88"/>
        <v>0</v>
      </c>
      <c r="O96" s="365">
        <f t="shared" si="88"/>
        <v>0</v>
      </c>
      <c r="P96" s="365">
        <f t="shared" si="88"/>
        <v>0</v>
      </c>
      <c r="Q96" s="365">
        <f t="shared" si="88"/>
        <v>0</v>
      </c>
      <c r="R96" s="397"/>
      <c r="S96" s="420"/>
    </row>
    <row r="97" spans="2:19" ht="12" thickTop="1">
      <c r="B97" s="620" t="s">
        <v>1115</v>
      </c>
      <c r="C97" s="621"/>
      <c r="D97" s="420" t="s">
        <v>146</v>
      </c>
      <c r="E97" s="28" t="s">
        <v>207</v>
      </c>
      <c r="F97" s="468">
        <v>0</v>
      </c>
      <c r="G97" s="468">
        <v>0</v>
      </c>
      <c r="H97" s="468">
        <v>0</v>
      </c>
      <c r="I97" s="468">
        <v>0</v>
      </c>
      <c r="J97" s="468">
        <v>0</v>
      </c>
      <c r="K97" s="468">
        <v>0</v>
      </c>
      <c r="L97" s="468">
        <v>0</v>
      </c>
      <c r="M97" s="468">
        <v>0</v>
      </c>
      <c r="N97" s="468">
        <v>0</v>
      </c>
      <c r="O97" s="468">
        <v>0</v>
      </c>
      <c r="P97" s="468">
        <v>0</v>
      </c>
      <c r="Q97" s="468">
        <v>0</v>
      </c>
      <c r="R97" s="397"/>
      <c r="S97" s="420"/>
    </row>
    <row r="98" spans="2:19">
      <c r="B98" s="620"/>
      <c r="C98" s="621"/>
      <c r="D98" s="420" t="s">
        <v>146</v>
      </c>
      <c r="E98" s="28" t="s">
        <v>207</v>
      </c>
      <c r="F98" s="468">
        <v>0</v>
      </c>
      <c r="G98" s="468">
        <v>0</v>
      </c>
      <c r="H98" s="468">
        <v>0</v>
      </c>
      <c r="I98" s="468">
        <v>0</v>
      </c>
      <c r="J98" s="468">
        <v>0</v>
      </c>
      <c r="K98" s="468">
        <v>0</v>
      </c>
      <c r="L98" s="468">
        <v>0</v>
      </c>
      <c r="M98" s="468">
        <v>0</v>
      </c>
      <c r="N98" s="468">
        <v>0</v>
      </c>
      <c r="O98" s="468">
        <v>0</v>
      </c>
      <c r="P98" s="468">
        <v>0</v>
      </c>
      <c r="Q98" s="468">
        <v>0</v>
      </c>
      <c r="R98" s="397"/>
      <c r="S98" s="420"/>
    </row>
    <row r="99" spans="2:19">
      <c r="B99" s="620"/>
      <c r="C99" s="621"/>
      <c r="D99" s="420" t="s">
        <v>146</v>
      </c>
      <c r="E99" s="28" t="s">
        <v>207</v>
      </c>
      <c r="F99" s="468">
        <v>0</v>
      </c>
      <c r="G99" s="468">
        <v>0</v>
      </c>
      <c r="H99" s="468">
        <v>0</v>
      </c>
      <c r="I99" s="468">
        <v>0</v>
      </c>
      <c r="J99" s="468">
        <v>0</v>
      </c>
      <c r="K99" s="468">
        <v>0</v>
      </c>
      <c r="L99" s="468">
        <v>0</v>
      </c>
      <c r="M99" s="468">
        <v>0</v>
      </c>
      <c r="N99" s="468">
        <v>0</v>
      </c>
      <c r="O99" s="468">
        <v>0</v>
      </c>
      <c r="P99" s="468">
        <v>0</v>
      </c>
      <c r="Q99" s="468">
        <v>0</v>
      </c>
      <c r="R99" s="397"/>
      <c r="S99" s="420"/>
    </row>
    <row r="100" spans="2:19">
      <c r="B100" s="620"/>
      <c r="C100" s="621"/>
      <c r="D100" s="420" t="s">
        <v>146</v>
      </c>
      <c r="E100" s="28" t="s">
        <v>207</v>
      </c>
      <c r="F100" s="468">
        <v>0</v>
      </c>
      <c r="G100" s="468">
        <v>0</v>
      </c>
      <c r="H100" s="468">
        <v>0</v>
      </c>
      <c r="I100" s="468">
        <v>0</v>
      </c>
      <c r="J100" s="468">
        <v>0</v>
      </c>
      <c r="K100" s="468">
        <v>0</v>
      </c>
      <c r="L100" s="468">
        <v>0</v>
      </c>
      <c r="M100" s="468">
        <v>0</v>
      </c>
      <c r="N100" s="468">
        <v>0</v>
      </c>
      <c r="O100" s="468">
        <v>0</v>
      </c>
      <c r="P100" s="468">
        <v>0</v>
      </c>
      <c r="Q100" s="468">
        <v>0</v>
      </c>
      <c r="R100" s="397"/>
      <c r="S100" s="420"/>
    </row>
    <row r="101" spans="2:19">
      <c r="B101" s="620"/>
      <c r="C101" s="621"/>
      <c r="D101" s="420" t="s">
        <v>146</v>
      </c>
      <c r="E101" s="28" t="s">
        <v>207</v>
      </c>
      <c r="F101" s="468">
        <v>0</v>
      </c>
      <c r="G101" s="468">
        <v>0</v>
      </c>
      <c r="H101" s="468">
        <v>0</v>
      </c>
      <c r="I101" s="468">
        <v>0</v>
      </c>
      <c r="J101" s="468">
        <v>0</v>
      </c>
      <c r="K101" s="468">
        <v>0</v>
      </c>
      <c r="L101" s="468">
        <v>0</v>
      </c>
      <c r="M101" s="468">
        <v>0</v>
      </c>
      <c r="N101" s="468">
        <v>0</v>
      </c>
      <c r="O101" s="468">
        <v>0</v>
      </c>
      <c r="P101" s="468">
        <v>0</v>
      </c>
      <c r="Q101" s="468">
        <v>0</v>
      </c>
      <c r="R101" s="397"/>
      <c r="S101" s="420"/>
    </row>
    <row r="102" spans="2:19" ht="12" thickBot="1">
      <c r="B102" s="550"/>
      <c r="C102" s="551"/>
      <c r="D102" s="552" t="s">
        <v>1095</v>
      </c>
      <c r="E102" s="72"/>
      <c r="F102" s="365">
        <f>SUM(F97:F101)</f>
        <v>0</v>
      </c>
      <c r="G102" s="365">
        <f t="shared" ref="G102:I102" si="89">SUM(G97:G101)</f>
        <v>0</v>
      </c>
      <c r="H102" s="365">
        <f t="shared" si="89"/>
        <v>0</v>
      </c>
      <c r="I102" s="365">
        <f t="shared" si="89"/>
        <v>0</v>
      </c>
      <c r="J102" s="365">
        <f t="shared" ref="J102:Q102" si="90">SUM(J97:J101)</f>
        <v>0</v>
      </c>
      <c r="K102" s="365">
        <f t="shared" si="90"/>
        <v>0</v>
      </c>
      <c r="L102" s="365">
        <f t="shared" si="90"/>
        <v>0</v>
      </c>
      <c r="M102" s="365">
        <f t="shared" si="90"/>
        <v>0</v>
      </c>
      <c r="N102" s="365">
        <f t="shared" si="90"/>
        <v>0</v>
      </c>
      <c r="O102" s="365">
        <f t="shared" si="90"/>
        <v>0</v>
      </c>
      <c r="P102" s="365">
        <f t="shared" si="90"/>
        <v>0</v>
      </c>
      <c r="Q102" s="365">
        <f t="shared" si="90"/>
        <v>0</v>
      </c>
      <c r="R102" s="397"/>
      <c r="S102" s="420"/>
    </row>
    <row r="103" spans="2:19" ht="12" thickTop="1"/>
  </sheetData>
  <sheetProtection algorithmName="SHA-512" hashValue="Hf1wX/LFjyMo4VsfJ3dXqDPfqhN4Ua2DSbHfqxABBzWhcYdDl0+eow4fWT3J0QMaXsx+mrigSN5y3smg/78S4g==" saltValue="wxKUghogDmT2ByFW5YEF/A==" spinCount="100000" sheet="1" objects="1" scenarios="1" autoFilter="0"/>
  <phoneticPr fontId="21" type="noConversion"/>
  <conditionalFormatting sqref="F15:Q15">
    <cfRule type="notContainsBlanks" dxfId="62" priority="25">
      <formula>LEN(TRIM(F15))&gt;0</formula>
    </cfRule>
  </conditionalFormatting>
  <conditionalFormatting sqref="F20:Q20">
    <cfRule type="notContainsBlanks" dxfId="61" priority="24">
      <formula>LEN(TRIM(F20))&gt;0</formula>
    </cfRule>
  </conditionalFormatting>
  <conditionalFormatting sqref="F30:Q30">
    <cfRule type="notContainsBlanks" dxfId="60" priority="23">
      <formula>LEN(TRIM(F30))&gt;0</formula>
    </cfRule>
  </conditionalFormatting>
  <conditionalFormatting sqref="F40:Q40">
    <cfRule type="notContainsBlanks" dxfId="59" priority="22">
      <formula>LEN(TRIM(F40))&gt;0</formula>
    </cfRule>
  </conditionalFormatting>
  <conditionalFormatting sqref="F44:Q44">
    <cfRule type="notContainsBlanks" dxfId="58" priority="21">
      <formula>LEN(TRIM(F44))&gt;0</formula>
    </cfRule>
  </conditionalFormatting>
  <conditionalFormatting sqref="F47:Q47">
    <cfRule type="notContainsBlanks" dxfId="57" priority="20">
      <formula>LEN(TRIM(F47))&gt;0</formula>
    </cfRule>
  </conditionalFormatting>
  <conditionalFormatting sqref="F55:Q55">
    <cfRule type="notContainsBlanks" dxfId="56" priority="1">
      <formula>LEN(TRIM(F55))&gt;0</formula>
    </cfRule>
  </conditionalFormatting>
  <conditionalFormatting sqref="F61:Q61">
    <cfRule type="notContainsBlanks" dxfId="55" priority="13">
      <formula>LEN(TRIM(F61))&gt;0</formula>
    </cfRule>
  </conditionalFormatting>
  <conditionalFormatting sqref="F74:Q74">
    <cfRule type="notContainsBlanks" dxfId="54" priority="12">
      <formula>LEN(TRIM(F74))&gt;0</formula>
    </cfRule>
  </conditionalFormatting>
  <conditionalFormatting sqref="F77:Q77">
    <cfRule type="notContainsBlanks" dxfId="53" priority="11">
      <formula>LEN(TRIM(F77))&gt;0</formula>
    </cfRule>
  </conditionalFormatting>
  <conditionalFormatting sqref="F82:Q82">
    <cfRule type="notContainsBlanks" dxfId="52" priority="10">
      <formula>LEN(TRIM(F82))&gt;0</formula>
    </cfRule>
  </conditionalFormatting>
  <conditionalFormatting sqref="F88:Q88">
    <cfRule type="notContainsBlanks" dxfId="51" priority="9">
      <formula>LEN(TRIM(F88))&gt;0</formula>
    </cfRule>
  </conditionalFormatting>
  <conditionalFormatting sqref="F94:Q94">
    <cfRule type="notContainsBlanks" dxfId="50" priority="8">
      <formula>LEN(TRIM(F94))&gt;0</formula>
    </cfRule>
  </conditionalFormatting>
  <dataValidations count="9">
    <dataValidation type="list" allowBlank="1" showInputMessage="1" showErrorMessage="1" sqref="F36:Q36" xr:uid="{C4E7B47F-C202-4A01-A9AC-68081618D5D3}">
      <formula1>Ameliorants_soil_L</formula1>
    </dataValidation>
    <dataValidation type="list" allowBlank="1" showInputMessage="1" showErrorMessage="1" sqref="F42:Q42 F70:Q70" xr:uid="{27722896-098F-466E-98C3-0E09A7DF3EB7}">
      <formula1>Long_haul_soil_amend_names_volume_CS</formula1>
    </dataValidation>
    <dataValidation type="list" allowBlank="1" showInputMessage="1" showErrorMessage="1" sqref="F28:Q28" xr:uid="{BB1DB0C1-E13B-49D6-9E57-D1B902A293A3}">
      <formula1>Load_haul_soil_names_CS</formula1>
    </dataValidation>
    <dataValidation type="list" allowBlank="1" showInputMessage="1" showErrorMessage="1" sqref="F58:Q58" xr:uid="{E38E8548-108D-4B1A-B06E-FE69686D56D4}">
      <formula1>Maintenance_rehab_areas_names_CS</formula1>
    </dataValidation>
    <dataValidation type="list" allowBlank="1" showInputMessage="1" showErrorMessage="1" sqref="F12:Q12" xr:uid="{B0392280-C265-46AB-9CF3-4574A16A3B0B}">
      <formula1>Utilities_names_CS</formula1>
    </dataValidation>
    <dataValidation type="list" allowBlank="1" showInputMessage="1" showErrorMessage="1" sqref="F79:Q79" xr:uid="{31E0BD45-10A8-46CD-95B7-1382BD9F31DF}">
      <formula1>Waste_levy_names_R</formula1>
    </dataValidation>
    <dataValidation type="list" allowBlank="1" showInputMessage="1" showErrorMessage="1" sqref="F90:Q90" xr:uid="{E7C75FA8-1E58-4739-A71C-B06676979030}">
      <formula1>Contaminated_soil_names_CS</formula1>
    </dataValidation>
    <dataValidation type="list" allowBlank="1" showInputMessage="1" showErrorMessage="1" sqref="F64:Q64" xr:uid="{0E7F964C-9E56-4E55-B9F5-4B0450DC22DF}">
      <formula1>Waste_names_L</formula1>
    </dataValidation>
    <dataValidation type="list" allowBlank="1" showInputMessage="1" showErrorMessage="1" sqref="F53:Q53" xr:uid="{2D0EB703-199D-4B5F-B7A9-B7E14A3343D0}">
      <formula1>Plant_and_seed_names_CS</formula1>
    </dataValidation>
  </dataValidations>
  <hyperlinks>
    <hyperlink ref="D6" location="RCE_Summary" display="RCE Summary" xr:uid="{E4456893-AC69-435F-92F4-96E24FFA7035}"/>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09354-2191-4D5D-AA89-B9D50F1D403B}">
  <sheetPr codeName="Sheet13" filterMode="1">
    <tabColor theme="9" tint="-0.249977111117893"/>
  </sheetPr>
  <dimension ref="B2:R241"/>
  <sheetViews>
    <sheetView showGridLines="0" zoomScaleNormal="100" workbookViewId="0">
      <pane xSplit="6" ySplit="8" topLeftCell="G9" activePane="bottomRight" state="frozen"/>
      <selection pane="topRight" activeCell="J1" sqref="J1"/>
      <selection pane="bottomLeft" activeCell="A9" sqref="A9"/>
      <selection pane="bottomRight" activeCell="C231" sqref="C231"/>
    </sheetView>
  </sheetViews>
  <sheetFormatPr defaultColWidth="9.140625" defaultRowHeight="11.25"/>
  <cols>
    <col min="1" max="1" width="2.42578125" style="28" customWidth="1"/>
    <col min="2" max="2" width="5.28515625" style="28" customWidth="1"/>
    <col min="3" max="3" width="26.85546875" style="28" customWidth="1"/>
    <col min="4" max="4" width="32" style="28" customWidth="1"/>
    <col min="5" max="5" width="28.7109375" style="28" customWidth="1"/>
    <col min="6" max="6" width="13" style="28" customWidth="1"/>
    <col min="7" max="7" width="13" style="3" customWidth="1"/>
    <col min="8" max="16" width="13.28515625" style="3" customWidth="1"/>
    <col min="17" max="18" width="74.7109375" style="28" customWidth="1"/>
    <col min="19" max="16384" width="9.140625" style="28"/>
  </cols>
  <sheetData>
    <row r="2" spans="3:18" ht="24.95" customHeight="1">
      <c r="C2" s="317" t="str">
        <f>Name_main</f>
        <v>Rehabilitation Cost Estimate Tool - Mining New South Wales</v>
      </c>
    </row>
    <row r="3" spans="3:18" ht="15.95" customHeight="1">
      <c r="C3" s="318" t="str">
        <f>CONCATENATE(CompanyName," - ",Mine_Name)</f>
        <v>Boral Cement - Marulan South Limestone Mine</v>
      </c>
    </row>
    <row r="4" spans="3:18" ht="15.95" customHeight="1" thickBot="1">
      <c r="C4" s="319" t="s">
        <v>182</v>
      </c>
      <c r="D4" s="320">
        <f>Grand_total</f>
        <v>27655414.430474937</v>
      </c>
    </row>
    <row r="5" spans="3:18" ht="15.95" customHeight="1" thickTop="1" thickBot="1">
      <c r="C5" s="321" t="s">
        <v>1116</v>
      </c>
      <c r="D5" s="417">
        <f>SUM(G5:P5,I231,I240)</f>
        <v>0</v>
      </c>
      <c r="E5" s="393" t="s">
        <v>1</v>
      </c>
      <c r="F5" s="323" t="s">
        <v>184</v>
      </c>
      <c r="G5" s="324">
        <f t="shared" ref="G5:P5" si="0">G18+G24+G30+G37+G58+G70+G76+G111+G141+G155+G175+G210+G228</f>
        <v>0</v>
      </c>
      <c r="H5" s="324">
        <f t="shared" si="0"/>
        <v>0</v>
      </c>
      <c r="I5" s="324">
        <f t="shared" si="0"/>
        <v>0</v>
      </c>
      <c r="J5" s="324">
        <f t="shared" si="0"/>
        <v>0</v>
      </c>
      <c r="K5" s="324">
        <f t="shared" si="0"/>
        <v>0</v>
      </c>
      <c r="L5" s="324">
        <f t="shared" si="0"/>
        <v>0</v>
      </c>
      <c r="M5" s="324">
        <f t="shared" si="0"/>
        <v>0</v>
      </c>
      <c r="N5" s="324">
        <f t="shared" si="0"/>
        <v>0</v>
      </c>
      <c r="O5" s="324">
        <f t="shared" si="0"/>
        <v>0</v>
      </c>
      <c r="P5" s="324">
        <f t="shared" si="0"/>
        <v>0</v>
      </c>
      <c r="Q5" s="3"/>
      <c r="R5" s="3"/>
    </row>
    <row r="6" spans="3:18" ht="15.95" customHeight="1" thickTop="1">
      <c r="C6" s="317"/>
      <c r="D6" s="317"/>
      <c r="E6" s="317"/>
      <c r="F6" s="317"/>
      <c r="G6" s="317"/>
      <c r="H6" s="317"/>
      <c r="I6" s="317"/>
      <c r="J6" s="317"/>
      <c r="K6" s="317"/>
      <c r="L6" s="317"/>
      <c r="M6" s="317"/>
      <c r="N6" s="317"/>
      <c r="O6" s="317"/>
      <c r="P6" s="317"/>
    </row>
    <row r="7" spans="3:18" ht="15.95" customHeight="1">
      <c r="C7" s="476" t="s">
        <v>692</v>
      </c>
      <c r="G7" s="28"/>
      <c r="H7" s="28"/>
      <c r="I7" s="28"/>
      <c r="J7" s="28"/>
      <c r="K7" s="28"/>
      <c r="L7" s="28"/>
      <c r="M7" s="28"/>
      <c r="N7" s="28"/>
      <c r="O7" s="28"/>
      <c r="P7" s="28"/>
    </row>
    <row r="8" spans="3:18" ht="34.5" thickBot="1">
      <c r="C8" s="325" t="s">
        <v>185</v>
      </c>
      <c r="D8" s="622" t="s">
        <v>186</v>
      </c>
      <c r="E8" s="326" t="s">
        <v>187</v>
      </c>
      <c r="F8" s="81" t="s">
        <v>1117</v>
      </c>
      <c r="G8" s="638" t="s">
        <v>417</v>
      </c>
      <c r="H8" s="638" t="s">
        <v>417</v>
      </c>
      <c r="I8" s="638" t="s">
        <v>417</v>
      </c>
      <c r="J8" s="638" t="s">
        <v>417</v>
      </c>
      <c r="K8" s="638" t="s">
        <v>417</v>
      </c>
      <c r="L8" s="638" t="s">
        <v>417</v>
      </c>
      <c r="M8" s="638" t="s">
        <v>417</v>
      </c>
      <c r="N8" s="638" t="s">
        <v>417</v>
      </c>
      <c r="O8" s="638" t="s">
        <v>417</v>
      </c>
      <c r="P8" s="638" t="s">
        <v>417</v>
      </c>
      <c r="Q8" s="327" t="s">
        <v>190</v>
      </c>
      <c r="R8" s="328" t="s">
        <v>191</v>
      </c>
    </row>
    <row r="9" spans="3:18" ht="45">
      <c r="C9" s="542" t="s">
        <v>124</v>
      </c>
      <c r="D9" s="637"/>
      <c r="E9" s="502"/>
      <c r="G9" s="502"/>
      <c r="H9" s="502"/>
      <c r="I9" s="502"/>
      <c r="J9" s="502"/>
      <c r="K9" s="502"/>
      <c r="L9" s="502"/>
      <c r="M9" s="502"/>
      <c r="N9" s="502"/>
      <c r="O9" s="502"/>
      <c r="P9" s="502"/>
      <c r="Q9" s="502"/>
      <c r="R9" s="329" t="s">
        <v>195</v>
      </c>
    </row>
    <row r="10" spans="3:18" ht="45">
      <c r="C10" s="542" t="s">
        <v>1118</v>
      </c>
      <c r="D10" s="591" t="s">
        <v>705</v>
      </c>
      <c r="E10" s="543" t="s">
        <v>194</v>
      </c>
      <c r="G10" s="502"/>
      <c r="H10" s="502"/>
      <c r="I10" s="502"/>
      <c r="J10" s="502"/>
      <c r="K10" s="502"/>
      <c r="L10" s="502"/>
      <c r="M10" s="502"/>
      <c r="N10" s="502"/>
      <c r="O10" s="502"/>
      <c r="P10" s="502"/>
      <c r="Q10" s="502"/>
      <c r="R10" s="418" t="s">
        <v>195</v>
      </c>
    </row>
    <row r="11" spans="3:18" ht="45">
      <c r="C11" s="553" t="s">
        <v>1119</v>
      </c>
      <c r="D11" s="589"/>
      <c r="E11" s="335" t="s">
        <v>436</v>
      </c>
      <c r="F11" s="28" t="s">
        <v>123</v>
      </c>
      <c r="G11" s="412" t="s">
        <v>1120</v>
      </c>
      <c r="H11" s="412" t="s">
        <v>1121</v>
      </c>
      <c r="I11" s="412" t="s">
        <v>1121</v>
      </c>
      <c r="J11" s="412" t="s">
        <v>1121</v>
      </c>
      <c r="K11" s="412" t="s">
        <v>1121</v>
      </c>
      <c r="L11" s="412" t="s">
        <v>1121</v>
      </c>
      <c r="M11" s="412" t="s">
        <v>1121</v>
      </c>
      <c r="N11" s="412" t="s">
        <v>1121</v>
      </c>
      <c r="O11" s="412" t="s">
        <v>1121</v>
      </c>
      <c r="P11" s="412" t="s">
        <v>1121</v>
      </c>
      <c r="Q11" s="502"/>
      <c r="R11" s="418"/>
    </row>
    <row r="12" spans="3:18">
      <c r="C12" s="545"/>
      <c r="D12" s="582"/>
      <c r="E12" s="576" t="s">
        <v>431</v>
      </c>
      <c r="F12" s="28" t="s">
        <v>123</v>
      </c>
      <c r="G12" s="412" t="s">
        <v>214</v>
      </c>
      <c r="H12" s="412" t="s">
        <v>442</v>
      </c>
      <c r="I12" s="412" t="s">
        <v>214</v>
      </c>
      <c r="J12" s="412" t="s">
        <v>214</v>
      </c>
      <c r="K12" s="412" t="s">
        <v>214</v>
      </c>
      <c r="L12" s="412" t="s">
        <v>214</v>
      </c>
      <c r="M12" s="412" t="s">
        <v>214</v>
      </c>
      <c r="N12" s="412" t="s">
        <v>214</v>
      </c>
      <c r="O12" s="412" t="s">
        <v>214</v>
      </c>
      <c r="P12" s="412" t="s">
        <v>214</v>
      </c>
      <c r="Q12" s="502"/>
      <c r="R12" s="420"/>
    </row>
    <row r="13" spans="3:18">
      <c r="C13" s="545"/>
      <c r="D13" s="582"/>
      <c r="E13" s="576" t="s">
        <v>443</v>
      </c>
      <c r="G13" s="454"/>
      <c r="H13" s="454"/>
      <c r="I13" s="454"/>
      <c r="J13" s="454"/>
      <c r="K13" s="454"/>
      <c r="L13" s="454"/>
      <c r="M13" s="454"/>
      <c r="N13" s="454"/>
      <c r="O13" s="454"/>
      <c r="P13" s="454"/>
      <c r="Q13" s="502"/>
      <c r="R13" s="420"/>
    </row>
    <row r="14" spans="3:18">
      <c r="C14" s="545"/>
      <c r="D14" s="582"/>
      <c r="E14" s="576" t="s">
        <v>434</v>
      </c>
      <c r="G14" s="422" t="str">
        <f t="shared" ref="G14:P14" si="1">IF(G12=Length,km,ha)</f>
        <v>ha</v>
      </c>
      <c r="H14" s="422" t="str">
        <f t="shared" si="1"/>
        <v>km</v>
      </c>
      <c r="I14" s="422" t="str">
        <f t="shared" si="1"/>
        <v>ha</v>
      </c>
      <c r="J14" s="422" t="str">
        <f t="shared" si="1"/>
        <v>ha</v>
      </c>
      <c r="K14" s="422" t="str">
        <f t="shared" si="1"/>
        <v>ha</v>
      </c>
      <c r="L14" s="422" t="str">
        <f t="shared" si="1"/>
        <v>ha</v>
      </c>
      <c r="M14" s="422" t="str">
        <f t="shared" si="1"/>
        <v>ha</v>
      </c>
      <c r="N14" s="422" t="str">
        <f t="shared" si="1"/>
        <v>ha</v>
      </c>
      <c r="O14" s="422" t="str">
        <f t="shared" si="1"/>
        <v>ha</v>
      </c>
      <c r="P14" s="422" t="str">
        <f t="shared" si="1"/>
        <v>ha</v>
      </c>
      <c r="Q14" s="502"/>
      <c r="R14" s="420"/>
    </row>
    <row r="15" spans="3:18">
      <c r="C15" s="545"/>
      <c r="D15" s="582"/>
      <c r="E15" s="420" t="s">
        <v>444</v>
      </c>
      <c r="F15" s="28" t="str">
        <f>CONCATENATE("$/shown unit")</f>
        <v>$/shown unit</v>
      </c>
      <c r="G15" s="342">
        <f>IF(G12=Length,_xlfn.XLOOKUP(G11,Track_names_exploration_CS,'Cost Schedule'!$D$521:$D$524),_xlfn.XLOOKUP(G11,'Cost Schedule'!$C$525:$C$528,'Cost Schedule'!$D$525:$D$528))</f>
        <v>3407.0486560033746</v>
      </c>
      <c r="H15" s="342">
        <f>IF(H12=Length,_xlfn.XLOOKUP(H11,Track_names_exploration_CS,'Cost Schedule'!$D$521:$D$524),_xlfn.XLOOKUP(H11,'Cost Schedule'!$C$525:$C$528,'Cost Schedule'!$D$525:$D$528))</f>
        <v>313.55142410620272</v>
      </c>
      <c r="I15" s="342">
        <f>IF(I12=Length,_xlfn.XLOOKUP(I11,Track_names_exploration_CS,'Cost Schedule'!$D$521:$D$524),_xlfn.XLOOKUP(I11,'Cost Schedule'!$C$525:$C$528,'Cost Schedule'!$D$525:$D$528))</f>
        <v>522.58570684367123</v>
      </c>
      <c r="J15" s="342">
        <f>IF(J12=Length,_xlfn.XLOOKUP(J11,Track_names_exploration_CS,'Cost Schedule'!$D$521:$D$524),_xlfn.XLOOKUP(J11,'Cost Schedule'!$C$525:$C$528,'Cost Schedule'!$D$525:$D$528))</f>
        <v>522.58570684367123</v>
      </c>
      <c r="K15" s="342">
        <f>IF(K12=Length,_xlfn.XLOOKUP(K11,Track_names_exploration_CS,'Cost Schedule'!$D$521:$D$524),_xlfn.XLOOKUP(K11,'Cost Schedule'!$C$525:$C$528,'Cost Schedule'!$D$525:$D$528))</f>
        <v>522.58570684367123</v>
      </c>
      <c r="L15" s="342">
        <f>IF(L12=Length,_xlfn.XLOOKUP(L11,Track_names_exploration_CS,'Cost Schedule'!$D$521:$D$524),_xlfn.XLOOKUP(L11,'Cost Schedule'!$C$525:$C$528,'Cost Schedule'!$D$525:$D$528))</f>
        <v>522.58570684367123</v>
      </c>
      <c r="M15" s="342">
        <f>IF(M12=Length,_xlfn.XLOOKUP(M11,Track_names_exploration_CS,'Cost Schedule'!$D$521:$D$524),_xlfn.XLOOKUP(M11,'Cost Schedule'!$C$525:$C$528,'Cost Schedule'!$D$525:$D$528))</f>
        <v>522.58570684367123</v>
      </c>
      <c r="N15" s="342">
        <f>IF(N12=Length,_xlfn.XLOOKUP(N11,Track_names_exploration_CS,'Cost Schedule'!$D$521:$D$524),_xlfn.XLOOKUP(N11,'Cost Schedule'!$C$525:$C$528,'Cost Schedule'!$D$525:$D$528))</f>
        <v>522.58570684367123</v>
      </c>
      <c r="O15" s="342">
        <f>IF(O12=Length,_xlfn.XLOOKUP(O11,Track_names_exploration_CS,'Cost Schedule'!$D$521:$D$524),_xlfn.XLOOKUP(O11,'Cost Schedule'!$C$525:$C$528,'Cost Schedule'!$D$525:$D$528))</f>
        <v>522.58570684367123</v>
      </c>
      <c r="P15" s="342">
        <f>IF(P12=Length,_xlfn.XLOOKUP(P11,Track_names_exploration_CS,'Cost Schedule'!$D$521:$D$524),_xlfn.XLOOKUP(P11,'Cost Schedule'!$C$525:$C$528,'Cost Schedule'!$D$525:$D$528))</f>
        <v>522.58570684367123</v>
      </c>
      <c r="Q15" s="502"/>
      <c r="R15" s="420"/>
    </row>
    <row r="16" spans="3:18">
      <c r="C16" s="545"/>
      <c r="D16" s="582"/>
      <c r="E16" s="337" t="s">
        <v>445</v>
      </c>
      <c r="F16" s="28" t="str">
        <f>CONCATENATE("$/shown unit")</f>
        <v>$/shown unit</v>
      </c>
      <c r="G16" s="414"/>
      <c r="H16" s="414"/>
      <c r="I16" s="414"/>
      <c r="J16" s="414"/>
      <c r="K16" s="414"/>
      <c r="L16" s="414"/>
      <c r="M16" s="414"/>
      <c r="N16" s="414"/>
      <c r="O16" s="414"/>
      <c r="P16" s="414"/>
      <c r="Q16" s="502"/>
      <c r="R16" s="420"/>
    </row>
    <row r="17" spans="3:18">
      <c r="C17" s="548"/>
      <c r="D17" s="623"/>
      <c r="E17" s="547" t="s">
        <v>146</v>
      </c>
      <c r="F17" s="28" t="s">
        <v>207</v>
      </c>
      <c r="G17" s="424">
        <f t="shared" ref="G17:P17" si="2">G13*IF(G16="",G15,G16)</f>
        <v>0</v>
      </c>
      <c r="H17" s="424">
        <f t="shared" si="2"/>
        <v>0</v>
      </c>
      <c r="I17" s="424">
        <f t="shared" si="2"/>
        <v>0</v>
      </c>
      <c r="J17" s="424">
        <f t="shared" si="2"/>
        <v>0</v>
      </c>
      <c r="K17" s="424">
        <f t="shared" si="2"/>
        <v>0</v>
      </c>
      <c r="L17" s="424">
        <f t="shared" si="2"/>
        <v>0</v>
      </c>
      <c r="M17" s="424">
        <f t="shared" si="2"/>
        <v>0</v>
      </c>
      <c r="N17" s="424">
        <f t="shared" si="2"/>
        <v>0</v>
      </c>
      <c r="O17" s="424">
        <f t="shared" si="2"/>
        <v>0</v>
      </c>
      <c r="P17" s="424">
        <f t="shared" si="2"/>
        <v>0</v>
      </c>
      <c r="Q17" s="502"/>
      <c r="R17" s="420"/>
    </row>
    <row r="18" spans="3:18" ht="12" thickBot="1">
      <c r="C18" s="550"/>
      <c r="D18" s="551"/>
      <c r="E18" s="552" t="str">
        <f>C11</f>
        <v>Tracks restoration (defaults)</v>
      </c>
      <c r="F18" s="72"/>
      <c r="G18" s="365">
        <f>G17</f>
        <v>0</v>
      </c>
      <c r="H18" s="365">
        <f t="shared" ref="H18:P18" si="3">H17</f>
        <v>0</v>
      </c>
      <c r="I18" s="365">
        <f t="shared" si="3"/>
        <v>0</v>
      </c>
      <c r="J18" s="365">
        <f t="shared" si="3"/>
        <v>0</v>
      </c>
      <c r="K18" s="365">
        <f t="shared" si="3"/>
        <v>0</v>
      </c>
      <c r="L18" s="365">
        <f t="shared" si="3"/>
        <v>0</v>
      </c>
      <c r="M18" s="365">
        <f t="shared" si="3"/>
        <v>0</v>
      </c>
      <c r="N18" s="365">
        <f t="shared" si="3"/>
        <v>0</v>
      </c>
      <c r="O18" s="365">
        <f t="shared" si="3"/>
        <v>0</v>
      </c>
      <c r="P18" s="365">
        <f t="shared" si="3"/>
        <v>0</v>
      </c>
      <c r="Q18" s="502"/>
      <c r="R18" s="420"/>
    </row>
    <row r="19" spans="3:18" ht="45.75" thickTop="1">
      <c r="C19" s="624" t="s">
        <v>1122</v>
      </c>
      <c r="D19" s="612" t="s">
        <v>1123</v>
      </c>
      <c r="E19" s="335" t="s">
        <v>436</v>
      </c>
      <c r="F19" s="28" t="s">
        <v>123</v>
      </c>
      <c r="G19" s="412" t="s">
        <v>1124</v>
      </c>
      <c r="H19" s="412" t="s">
        <v>1125</v>
      </c>
      <c r="I19" s="412" t="s">
        <v>1126</v>
      </c>
      <c r="J19" s="412" t="s">
        <v>1127</v>
      </c>
      <c r="K19" s="412" t="s">
        <v>1124</v>
      </c>
      <c r="L19" s="412" t="s">
        <v>1124</v>
      </c>
      <c r="M19" s="412" t="s">
        <v>1124</v>
      </c>
      <c r="N19" s="412" t="s">
        <v>1124</v>
      </c>
      <c r="O19" s="412" t="s">
        <v>1124</v>
      </c>
      <c r="P19" s="412" t="s">
        <v>1124</v>
      </c>
      <c r="Q19" s="502"/>
      <c r="R19" s="420"/>
    </row>
    <row r="20" spans="3:18">
      <c r="C20" s="625"/>
      <c r="D20" s="582"/>
      <c r="E20" s="420" t="s">
        <v>214</v>
      </c>
      <c r="F20" s="28" t="s">
        <v>299</v>
      </c>
      <c r="G20" s="454"/>
      <c r="H20" s="454"/>
      <c r="I20" s="454"/>
      <c r="J20" s="454"/>
      <c r="K20" s="454"/>
      <c r="L20" s="454"/>
      <c r="M20" s="454"/>
      <c r="N20" s="454"/>
      <c r="O20" s="454"/>
      <c r="P20" s="454"/>
      <c r="Q20" s="502"/>
      <c r="R20" s="420"/>
    </row>
    <row r="21" spans="3:18">
      <c r="C21" s="545"/>
      <c r="D21" s="582"/>
      <c r="E21" s="337" t="s">
        <v>227</v>
      </c>
      <c r="F21" s="28" t="s">
        <v>329</v>
      </c>
      <c r="G21" s="342">
        <f t="shared" ref="G21:P21" si="4">_xlfn.XLOOKUP(G19,Laydown_names_exploration_CS,Laydown_rates_exploration_CS)</f>
        <v>1230.1933991600233</v>
      </c>
      <c r="H21" s="342">
        <f t="shared" si="4"/>
        <v>15299.859706492934</v>
      </c>
      <c r="I21" s="342">
        <f t="shared" si="4"/>
        <v>18830.728098992935</v>
      </c>
      <c r="J21" s="342">
        <f t="shared" si="4"/>
        <v>8398.6980989929361</v>
      </c>
      <c r="K21" s="342">
        <f t="shared" si="4"/>
        <v>1230.1933991600233</v>
      </c>
      <c r="L21" s="342">
        <f t="shared" si="4"/>
        <v>1230.1933991600233</v>
      </c>
      <c r="M21" s="342">
        <f t="shared" si="4"/>
        <v>1230.1933991600233</v>
      </c>
      <c r="N21" s="342">
        <f t="shared" si="4"/>
        <v>1230.1933991600233</v>
      </c>
      <c r="O21" s="342">
        <f t="shared" si="4"/>
        <v>1230.1933991600233</v>
      </c>
      <c r="P21" s="342">
        <f t="shared" si="4"/>
        <v>1230.1933991600233</v>
      </c>
      <c r="Q21" s="502"/>
      <c r="R21" s="420"/>
    </row>
    <row r="22" spans="3:18">
      <c r="C22" s="545"/>
      <c r="D22" s="582"/>
      <c r="E22" s="337" t="s">
        <v>229</v>
      </c>
      <c r="F22" s="28" t="s">
        <v>329</v>
      </c>
      <c r="G22" s="414"/>
      <c r="H22" s="414"/>
      <c r="I22" s="414"/>
      <c r="J22" s="414"/>
      <c r="K22" s="414"/>
      <c r="L22" s="414"/>
      <c r="M22" s="414"/>
      <c r="N22" s="414"/>
      <c r="O22" s="414"/>
      <c r="P22" s="414"/>
      <c r="Q22" s="502"/>
      <c r="R22" s="420"/>
    </row>
    <row r="23" spans="3:18">
      <c r="C23" s="545"/>
      <c r="D23" s="623"/>
      <c r="E23" s="547" t="s">
        <v>146</v>
      </c>
      <c r="F23" s="28" t="s">
        <v>207</v>
      </c>
      <c r="G23" s="424">
        <f t="shared" ref="G23:P23" si="5">G20*IF(G22="",G21,G22)</f>
        <v>0</v>
      </c>
      <c r="H23" s="424">
        <f>H20*IF(H22="",H21,H22)</f>
        <v>0</v>
      </c>
      <c r="I23" s="424">
        <f t="shared" si="5"/>
        <v>0</v>
      </c>
      <c r="J23" s="424">
        <f t="shared" si="5"/>
        <v>0</v>
      </c>
      <c r="K23" s="424">
        <f t="shared" si="5"/>
        <v>0</v>
      </c>
      <c r="L23" s="424">
        <f t="shared" si="5"/>
        <v>0</v>
      </c>
      <c r="M23" s="424">
        <f t="shared" si="5"/>
        <v>0</v>
      </c>
      <c r="N23" s="424">
        <f t="shared" si="5"/>
        <v>0</v>
      </c>
      <c r="O23" s="424">
        <f t="shared" si="5"/>
        <v>0</v>
      </c>
      <c r="P23" s="424">
        <f t="shared" si="5"/>
        <v>0</v>
      </c>
      <c r="Q23" s="502"/>
      <c r="R23" s="420"/>
    </row>
    <row r="24" spans="3:18" ht="12" thickBot="1">
      <c r="C24" s="550"/>
      <c r="D24" s="551"/>
      <c r="E24" s="552" t="str">
        <f>C19</f>
        <v>Restore laydown areas (default costs)</v>
      </c>
      <c r="F24" s="72"/>
      <c r="G24" s="365">
        <f>G23</f>
        <v>0</v>
      </c>
      <c r="H24" s="365">
        <f t="shared" ref="H24:P24" si="6">H23</f>
        <v>0</v>
      </c>
      <c r="I24" s="365">
        <f t="shared" si="6"/>
        <v>0</v>
      </c>
      <c r="J24" s="365">
        <f t="shared" si="6"/>
        <v>0</v>
      </c>
      <c r="K24" s="365">
        <f t="shared" si="6"/>
        <v>0</v>
      </c>
      <c r="L24" s="365">
        <f t="shared" si="6"/>
        <v>0</v>
      </c>
      <c r="M24" s="365">
        <f t="shared" si="6"/>
        <v>0</v>
      </c>
      <c r="N24" s="365">
        <f t="shared" si="6"/>
        <v>0</v>
      </c>
      <c r="O24" s="365">
        <f t="shared" si="6"/>
        <v>0</v>
      </c>
      <c r="P24" s="365">
        <f t="shared" si="6"/>
        <v>0</v>
      </c>
      <c r="Q24" s="502"/>
      <c r="R24" s="420"/>
    </row>
    <row r="25" spans="3:18" ht="34.5" thickTop="1">
      <c r="C25" s="553" t="s">
        <v>1128</v>
      </c>
      <c r="D25" s="626" t="s">
        <v>1129</v>
      </c>
      <c r="E25" s="337" t="s">
        <v>311</v>
      </c>
      <c r="F25" s="28" t="s">
        <v>123</v>
      </c>
      <c r="G25" s="639" t="s">
        <v>1130</v>
      </c>
      <c r="H25" s="639" t="s">
        <v>1130</v>
      </c>
      <c r="I25" s="639" t="s">
        <v>1130</v>
      </c>
      <c r="J25" s="639" t="s">
        <v>1130</v>
      </c>
      <c r="K25" s="639" t="s">
        <v>1130</v>
      </c>
      <c r="L25" s="639" t="s">
        <v>1130</v>
      </c>
      <c r="M25" s="639" t="s">
        <v>1130</v>
      </c>
      <c r="N25" s="639" t="s">
        <v>1130</v>
      </c>
      <c r="O25" s="639" t="s">
        <v>1130</v>
      </c>
      <c r="P25" s="639" t="s">
        <v>1130</v>
      </c>
      <c r="Q25" s="502"/>
      <c r="R25" s="420"/>
    </row>
    <row r="26" spans="3:18">
      <c r="C26" s="545"/>
      <c r="D26" s="589"/>
      <c r="E26" s="337" t="s">
        <v>1131</v>
      </c>
      <c r="F26" s="28" t="s">
        <v>199</v>
      </c>
      <c r="G26" s="471"/>
      <c r="H26" s="471"/>
      <c r="I26" s="471"/>
      <c r="J26" s="471"/>
      <c r="K26" s="471"/>
      <c r="L26" s="471"/>
      <c r="M26" s="471"/>
      <c r="N26" s="471"/>
      <c r="O26" s="471"/>
      <c r="P26" s="471"/>
      <c r="Q26" s="502"/>
      <c r="R26" s="420"/>
    </row>
    <row r="27" spans="3:18">
      <c r="C27" s="545"/>
      <c r="D27" s="589"/>
      <c r="E27" s="337" t="s">
        <v>227</v>
      </c>
      <c r="F27" s="28" t="s">
        <v>1132</v>
      </c>
      <c r="G27" s="342">
        <f t="shared" ref="G27:P27" si="7">_xlfn.XLOOKUP(G25,Exploration_dam_names_CS,Exploration_dam_rates_CS)</f>
        <v>6195.4040364428374</v>
      </c>
      <c r="H27" s="342">
        <f t="shared" si="7"/>
        <v>6195.4040364428374</v>
      </c>
      <c r="I27" s="342">
        <f t="shared" si="7"/>
        <v>6195.4040364428374</v>
      </c>
      <c r="J27" s="342">
        <f t="shared" si="7"/>
        <v>6195.4040364428374</v>
      </c>
      <c r="K27" s="342">
        <f t="shared" si="7"/>
        <v>6195.4040364428374</v>
      </c>
      <c r="L27" s="342">
        <f t="shared" si="7"/>
        <v>6195.4040364428374</v>
      </c>
      <c r="M27" s="342">
        <f t="shared" si="7"/>
        <v>6195.4040364428374</v>
      </c>
      <c r="N27" s="342">
        <f t="shared" si="7"/>
        <v>6195.4040364428374</v>
      </c>
      <c r="O27" s="342">
        <f t="shared" si="7"/>
        <v>6195.4040364428374</v>
      </c>
      <c r="P27" s="342">
        <f t="shared" si="7"/>
        <v>6195.4040364428374</v>
      </c>
      <c r="Q27" s="502"/>
      <c r="R27" s="420"/>
    </row>
    <row r="28" spans="3:18">
      <c r="C28" s="545"/>
      <c r="D28" s="589"/>
      <c r="E28" s="337" t="s">
        <v>206</v>
      </c>
      <c r="F28" s="28" t="s">
        <v>1132</v>
      </c>
      <c r="G28" s="414"/>
      <c r="H28" s="414"/>
      <c r="I28" s="414"/>
      <c r="J28" s="414"/>
      <c r="K28" s="414"/>
      <c r="L28" s="414"/>
      <c r="M28" s="414"/>
      <c r="N28" s="414"/>
      <c r="O28" s="414"/>
      <c r="P28" s="414"/>
      <c r="Q28" s="502"/>
      <c r="R28" s="420"/>
    </row>
    <row r="29" spans="3:18">
      <c r="C29" s="548"/>
      <c r="D29" s="591"/>
      <c r="E29" s="337" t="s">
        <v>146</v>
      </c>
      <c r="F29" s="28" t="s">
        <v>207</v>
      </c>
      <c r="G29" s="424">
        <f t="shared" ref="G29:P29" si="8">G26*IF(G28="",G27,G28)</f>
        <v>0</v>
      </c>
      <c r="H29" s="424">
        <f t="shared" si="8"/>
        <v>0</v>
      </c>
      <c r="I29" s="424">
        <f t="shared" si="8"/>
        <v>0</v>
      </c>
      <c r="J29" s="424">
        <f t="shared" si="8"/>
        <v>0</v>
      </c>
      <c r="K29" s="424">
        <f t="shared" si="8"/>
        <v>0</v>
      </c>
      <c r="L29" s="424">
        <f t="shared" si="8"/>
        <v>0</v>
      </c>
      <c r="M29" s="424">
        <f t="shared" si="8"/>
        <v>0</v>
      </c>
      <c r="N29" s="424">
        <f t="shared" si="8"/>
        <v>0</v>
      </c>
      <c r="O29" s="424">
        <f t="shared" si="8"/>
        <v>0</v>
      </c>
      <c r="P29" s="424">
        <f t="shared" si="8"/>
        <v>0</v>
      </c>
      <c r="Q29" s="502"/>
      <c r="R29" s="420"/>
    </row>
    <row r="30" spans="3:18" ht="12" thickBot="1">
      <c r="C30" s="550"/>
      <c r="D30" s="551"/>
      <c r="E30" s="552" t="str">
        <f>C25</f>
        <v>Restore ponds (default costs)</v>
      </c>
      <c r="F30" s="72"/>
      <c r="G30" s="365">
        <f>G29</f>
        <v>0</v>
      </c>
      <c r="H30" s="365">
        <f t="shared" ref="H30:P30" si="9">H29</f>
        <v>0</v>
      </c>
      <c r="I30" s="365">
        <f t="shared" si="9"/>
        <v>0</v>
      </c>
      <c r="J30" s="365">
        <f t="shared" si="9"/>
        <v>0</v>
      </c>
      <c r="K30" s="365">
        <f t="shared" si="9"/>
        <v>0</v>
      </c>
      <c r="L30" s="365">
        <f t="shared" si="9"/>
        <v>0</v>
      </c>
      <c r="M30" s="365">
        <f t="shared" si="9"/>
        <v>0</v>
      </c>
      <c r="N30" s="365">
        <f t="shared" si="9"/>
        <v>0</v>
      </c>
      <c r="O30" s="365">
        <f t="shared" si="9"/>
        <v>0</v>
      </c>
      <c r="P30" s="365">
        <f t="shared" si="9"/>
        <v>0</v>
      </c>
      <c r="Q30" s="502"/>
      <c r="R30" s="420"/>
    </row>
    <row r="31" spans="3:18" ht="68.25" thickTop="1">
      <c r="C31" s="624" t="s">
        <v>1133</v>
      </c>
      <c r="D31" s="626" t="s">
        <v>1134</v>
      </c>
      <c r="E31" s="337" t="s">
        <v>311</v>
      </c>
      <c r="F31" s="28" t="s">
        <v>123</v>
      </c>
      <c r="G31" s="639" t="s">
        <v>1135</v>
      </c>
      <c r="H31" s="639" t="s">
        <v>1136</v>
      </c>
      <c r="I31" s="639" t="s">
        <v>1137</v>
      </c>
      <c r="J31" s="639" t="s">
        <v>1135</v>
      </c>
      <c r="K31" s="639" t="s">
        <v>1138</v>
      </c>
      <c r="L31" s="639" t="s">
        <v>1139</v>
      </c>
      <c r="M31" s="639" t="s">
        <v>1136</v>
      </c>
      <c r="N31" s="639" t="s">
        <v>1136</v>
      </c>
      <c r="O31" s="639" t="s">
        <v>1136</v>
      </c>
      <c r="P31" s="639" t="s">
        <v>1136</v>
      </c>
      <c r="Q31" s="502"/>
      <c r="R31" s="420"/>
    </row>
    <row r="32" spans="3:18">
      <c r="C32" s="545"/>
      <c r="D32" s="589"/>
      <c r="E32" s="337" t="s">
        <v>355</v>
      </c>
      <c r="F32" s="28" t="s">
        <v>199</v>
      </c>
      <c r="G32" s="471"/>
      <c r="H32" s="471"/>
      <c r="I32" s="471"/>
      <c r="J32" s="471"/>
      <c r="K32" s="471"/>
      <c r="L32" s="471"/>
      <c r="M32" s="471"/>
      <c r="N32" s="471"/>
      <c r="O32" s="471"/>
      <c r="P32" s="471"/>
      <c r="Q32" s="502"/>
      <c r="R32" s="420"/>
    </row>
    <row r="33" spans="3:18">
      <c r="C33" s="545"/>
      <c r="D33" s="589"/>
      <c r="E33" s="337" t="s">
        <v>227</v>
      </c>
      <c r="F33" s="28" t="s">
        <v>352</v>
      </c>
      <c r="G33" s="342">
        <f t="shared" ref="G33:P33" si="10">_xlfn.XLOOKUP(G31,Bores_explore_names_CS,Bores_explore_rates_CS)</f>
        <v>6228.5438999999997</v>
      </c>
      <c r="H33" s="342">
        <f t="shared" si="10"/>
        <v>6738.5269213197498</v>
      </c>
      <c r="I33" s="342">
        <f t="shared" si="10"/>
        <v>46.440897499999998</v>
      </c>
      <c r="J33" s="342">
        <f t="shared" si="10"/>
        <v>6228.5438999999997</v>
      </c>
      <c r="K33" s="342">
        <f t="shared" si="10"/>
        <v>2261.9448900000002</v>
      </c>
      <c r="L33" s="342">
        <f t="shared" si="10"/>
        <v>453.48170499999998</v>
      </c>
      <c r="M33" s="342">
        <f t="shared" si="10"/>
        <v>6738.5269213197498</v>
      </c>
      <c r="N33" s="342">
        <f t="shared" si="10"/>
        <v>6738.5269213197498</v>
      </c>
      <c r="O33" s="342">
        <f t="shared" si="10"/>
        <v>6738.5269213197498</v>
      </c>
      <c r="P33" s="342">
        <f t="shared" si="10"/>
        <v>6738.5269213197498</v>
      </c>
      <c r="Q33" s="502"/>
      <c r="R33" s="420"/>
    </row>
    <row r="34" spans="3:18">
      <c r="C34" s="545"/>
      <c r="D34" s="589"/>
      <c r="E34" s="337" t="s">
        <v>353</v>
      </c>
      <c r="G34" s="422" t="str">
        <f t="shared" ref="G34:P34" si="11">_xlfn.XLOOKUP(G31,Bores_explore_names_CS,Bores_explore_units_CS)</f>
        <v>hole</v>
      </c>
      <c r="H34" s="422" t="str">
        <f t="shared" si="11"/>
        <v>hole</v>
      </c>
      <c r="I34" s="422" t="str">
        <f t="shared" si="11"/>
        <v>hole</v>
      </c>
      <c r="J34" s="422" t="str">
        <f t="shared" si="11"/>
        <v>hole</v>
      </c>
      <c r="K34" s="422" t="str">
        <f t="shared" si="11"/>
        <v>hole</v>
      </c>
      <c r="L34" s="422" t="str">
        <f t="shared" si="11"/>
        <v>hole</v>
      </c>
      <c r="M34" s="422" t="str">
        <f t="shared" si="11"/>
        <v>hole</v>
      </c>
      <c r="N34" s="422" t="str">
        <f t="shared" si="11"/>
        <v>hole</v>
      </c>
      <c r="O34" s="422" t="str">
        <f t="shared" si="11"/>
        <v>hole</v>
      </c>
      <c r="P34" s="422" t="str">
        <f t="shared" si="11"/>
        <v>hole</v>
      </c>
      <c r="Q34" s="502"/>
      <c r="R34" s="420"/>
    </row>
    <row r="35" spans="3:18">
      <c r="C35" s="545"/>
      <c r="D35" s="589"/>
      <c r="E35" s="333" t="s">
        <v>206</v>
      </c>
      <c r="F35" s="28" t="s">
        <v>529</v>
      </c>
      <c r="G35" s="414"/>
      <c r="H35" s="414"/>
      <c r="I35" s="414"/>
      <c r="J35" s="414"/>
      <c r="K35" s="414"/>
      <c r="L35" s="414"/>
      <c r="M35" s="414"/>
      <c r="N35" s="414"/>
      <c r="O35" s="414"/>
      <c r="P35" s="414"/>
      <c r="Q35" s="502"/>
      <c r="R35" s="420"/>
    </row>
    <row r="36" spans="3:18">
      <c r="C36" s="545"/>
      <c r="D36" s="589"/>
      <c r="E36" s="337" t="s">
        <v>146</v>
      </c>
      <c r="F36" s="28" t="s">
        <v>207</v>
      </c>
      <c r="G36" s="424">
        <f>G32*IF(G35="",G33,G35)</f>
        <v>0</v>
      </c>
      <c r="H36" s="424">
        <f t="shared" ref="H36:P36" si="12">H32*IF(H35="",H33,H35)</f>
        <v>0</v>
      </c>
      <c r="I36" s="424">
        <f t="shared" si="12"/>
        <v>0</v>
      </c>
      <c r="J36" s="424">
        <f t="shared" si="12"/>
        <v>0</v>
      </c>
      <c r="K36" s="424">
        <f t="shared" si="12"/>
        <v>0</v>
      </c>
      <c r="L36" s="424">
        <f t="shared" si="12"/>
        <v>0</v>
      </c>
      <c r="M36" s="424">
        <f t="shared" si="12"/>
        <v>0</v>
      </c>
      <c r="N36" s="424">
        <f t="shared" si="12"/>
        <v>0</v>
      </c>
      <c r="O36" s="424">
        <f t="shared" si="12"/>
        <v>0</v>
      </c>
      <c r="P36" s="424">
        <f t="shared" si="12"/>
        <v>0</v>
      </c>
      <c r="Q36" s="502"/>
      <c r="R36" s="420"/>
    </row>
    <row r="37" spans="3:18" ht="12" thickBot="1">
      <c r="C37" s="550"/>
      <c r="D37" s="551"/>
      <c r="E37" s="552" t="str">
        <f>C31</f>
        <v>Restore Boreholes and Sumps (default costs)</v>
      </c>
      <c r="F37" s="72"/>
      <c r="G37" s="365">
        <f>G36</f>
        <v>0</v>
      </c>
      <c r="H37" s="365">
        <f t="shared" ref="H37:P37" si="13">H36</f>
        <v>0</v>
      </c>
      <c r="I37" s="365">
        <f t="shared" si="13"/>
        <v>0</v>
      </c>
      <c r="J37" s="365">
        <f t="shared" si="13"/>
        <v>0</v>
      </c>
      <c r="K37" s="365">
        <f t="shared" si="13"/>
        <v>0</v>
      </c>
      <c r="L37" s="365">
        <f t="shared" si="13"/>
        <v>0</v>
      </c>
      <c r="M37" s="365">
        <f t="shared" si="13"/>
        <v>0</v>
      </c>
      <c r="N37" s="365">
        <f t="shared" si="13"/>
        <v>0</v>
      </c>
      <c r="O37" s="365">
        <f t="shared" si="13"/>
        <v>0</v>
      </c>
      <c r="P37" s="365">
        <f t="shared" si="13"/>
        <v>0</v>
      </c>
      <c r="Q37" s="502"/>
      <c r="R37" s="420"/>
    </row>
    <row r="38" spans="3:18" ht="23.25" thickTop="1">
      <c r="C38" s="627" t="s">
        <v>744</v>
      </c>
      <c r="D38" s="626" t="s">
        <v>1140</v>
      </c>
      <c r="E38" s="420" t="s">
        <v>311</v>
      </c>
      <c r="F38" s="28" t="s">
        <v>123</v>
      </c>
      <c r="G38" s="412" t="s">
        <v>747</v>
      </c>
      <c r="H38" s="412" t="s">
        <v>568</v>
      </c>
      <c r="I38" s="412" t="s">
        <v>746</v>
      </c>
      <c r="J38" s="412" t="s">
        <v>569</v>
      </c>
      <c r="K38" s="412" t="s">
        <v>748</v>
      </c>
      <c r="L38" s="412" t="s">
        <v>564</v>
      </c>
      <c r="M38" s="412" t="s">
        <v>569</v>
      </c>
      <c r="N38" s="412" t="s">
        <v>565</v>
      </c>
      <c r="O38" s="412" t="s">
        <v>566</v>
      </c>
      <c r="P38" s="412" t="s">
        <v>570</v>
      </c>
      <c r="Q38" s="502"/>
      <c r="R38" s="420"/>
    </row>
    <row r="39" spans="3:18">
      <c r="C39" s="577"/>
      <c r="D39" s="589"/>
      <c r="E39" s="420" t="s">
        <v>355</v>
      </c>
      <c r="F39" s="28" t="s">
        <v>571</v>
      </c>
      <c r="G39" s="454"/>
      <c r="H39" s="454"/>
      <c r="I39" s="454"/>
      <c r="J39" s="454"/>
      <c r="K39" s="454"/>
      <c r="L39" s="454"/>
      <c r="M39" s="454"/>
      <c r="N39" s="454"/>
      <c r="O39" s="454"/>
      <c r="P39" s="454"/>
      <c r="Q39" s="502"/>
      <c r="R39" s="420"/>
    </row>
    <row r="40" spans="3:18">
      <c r="C40" s="577"/>
      <c r="D40" s="589"/>
      <c r="E40" s="420" t="s">
        <v>353</v>
      </c>
      <c r="G40" s="385" t="str">
        <f t="shared" ref="G40:P40" si="14">_xlfn.XLOOKUP(G38,Waste_names_L,Waste_qty_units_L)</f>
        <v>kL</v>
      </c>
      <c r="H40" s="385" t="str">
        <f t="shared" si="14"/>
        <v>kL</v>
      </c>
      <c r="I40" s="385" t="str">
        <f t="shared" si="14"/>
        <v>tonne</v>
      </c>
      <c r="J40" s="385" t="str">
        <f t="shared" si="14"/>
        <v>m</v>
      </c>
      <c r="K40" s="385" t="str">
        <f t="shared" si="14"/>
        <v>tonne</v>
      </c>
      <c r="L40" s="385" t="str">
        <f t="shared" si="14"/>
        <v>m2</v>
      </c>
      <c r="M40" s="385" t="str">
        <f t="shared" si="14"/>
        <v>m</v>
      </c>
      <c r="N40" s="385" t="str">
        <f t="shared" si="14"/>
        <v>tonne</v>
      </c>
      <c r="O40" s="385" t="str">
        <f t="shared" si="14"/>
        <v>tonne</v>
      </c>
      <c r="P40" s="385" t="str">
        <f t="shared" si="14"/>
        <v>m2</v>
      </c>
      <c r="Q40" s="502"/>
      <c r="R40" s="420"/>
    </row>
    <row r="41" spans="3:18">
      <c r="C41" s="577"/>
      <c r="D41" s="589"/>
      <c r="E41" s="420" t="s">
        <v>572</v>
      </c>
      <c r="F41" s="28" t="s">
        <v>573</v>
      </c>
      <c r="G41" s="385">
        <f t="shared" ref="G41:P41" si="15">IF(OR(G38=Concrete_rubble_debris_disposal,G38=Steel_disposal,G38=Asbestos_in_soil,G38=Hazardous_waste,G38=Restricted_solid_waste,G38=Low_level_solid_waste,G38=Oil_disposal,G38=Oily_water_disposal),1*G39,IF(G38=Asbestos_from_buildings,G39*Asbestos_sheet_density,IF(G38=Asbestos_from_pipe,G39*Asbestos_pipe_specific_density,IF(G38=Plastic_liner_disposal,G39*Liner_specific_mass))))</f>
        <v>0</v>
      </c>
      <c r="H41" s="385">
        <f t="shared" si="15"/>
        <v>0</v>
      </c>
      <c r="I41" s="385">
        <f t="shared" si="15"/>
        <v>0</v>
      </c>
      <c r="J41" s="385">
        <f t="shared" si="15"/>
        <v>0</v>
      </c>
      <c r="K41" s="385">
        <f t="shared" si="15"/>
        <v>0</v>
      </c>
      <c r="L41" s="385">
        <f t="shared" si="15"/>
        <v>0</v>
      </c>
      <c r="M41" s="385">
        <f t="shared" si="15"/>
        <v>0</v>
      </c>
      <c r="N41" s="385">
        <f t="shared" si="15"/>
        <v>0</v>
      </c>
      <c r="O41" s="385">
        <f t="shared" si="15"/>
        <v>0</v>
      </c>
      <c r="P41" s="385">
        <f t="shared" si="15"/>
        <v>0</v>
      </c>
      <c r="Q41" s="502"/>
      <c r="R41" s="420"/>
    </row>
    <row r="42" spans="3:18">
      <c r="C42" s="577"/>
      <c r="D42" s="589"/>
      <c r="E42" s="420" t="s">
        <v>1114</v>
      </c>
      <c r="F42" s="28" t="s">
        <v>573</v>
      </c>
      <c r="G42" s="455"/>
      <c r="H42" s="455"/>
      <c r="I42" s="455"/>
      <c r="J42" s="455"/>
      <c r="K42" s="455"/>
      <c r="L42" s="455"/>
      <c r="M42" s="455"/>
      <c r="N42" s="455"/>
      <c r="O42" s="455"/>
      <c r="P42" s="455"/>
      <c r="Q42" s="502"/>
      <c r="R42" s="420"/>
    </row>
    <row r="43" spans="3:18">
      <c r="C43" s="579"/>
      <c r="D43" s="589"/>
      <c r="E43" s="420" t="s">
        <v>575</v>
      </c>
      <c r="F43" s="28" t="s">
        <v>573</v>
      </c>
      <c r="G43" s="385">
        <f>IF(G42="",G41,G42)</f>
        <v>0</v>
      </c>
      <c r="H43" s="385">
        <f t="shared" ref="H43:P43" si="16">IF(H42="",H41,H42)</f>
        <v>0</v>
      </c>
      <c r="I43" s="385">
        <f t="shared" si="16"/>
        <v>0</v>
      </c>
      <c r="J43" s="385">
        <f t="shared" si="16"/>
        <v>0</v>
      </c>
      <c r="K43" s="385">
        <f t="shared" si="16"/>
        <v>0</v>
      </c>
      <c r="L43" s="385">
        <f t="shared" si="16"/>
        <v>0</v>
      </c>
      <c r="M43" s="385">
        <f t="shared" si="16"/>
        <v>0</v>
      </c>
      <c r="N43" s="385">
        <f t="shared" si="16"/>
        <v>0</v>
      </c>
      <c r="O43" s="385">
        <f t="shared" si="16"/>
        <v>0</v>
      </c>
      <c r="P43" s="385">
        <f t="shared" si="16"/>
        <v>0</v>
      </c>
      <c r="Q43" s="502"/>
      <c r="R43" s="420"/>
    </row>
    <row r="44" spans="3:18">
      <c r="C44" s="628" t="s">
        <v>576</v>
      </c>
      <c r="D44" s="626" t="s">
        <v>1140</v>
      </c>
      <c r="E44" s="420" t="s">
        <v>327</v>
      </c>
      <c r="F44" s="28" t="s">
        <v>123</v>
      </c>
      <c r="G44" s="640" t="s">
        <v>995</v>
      </c>
      <c r="H44" s="640" t="s">
        <v>995</v>
      </c>
      <c r="I44" s="640" t="s">
        <v>559</v>
      </c>
      <c r="J44" s="640" t="s">
        <v>578</v>
      </c>
      <c r="K44" s="640" t="s">
        <v>578</v>
      </c>
      <c r="L44" s="640" t="s">
        <v>578</v>
      </c>
      <c r="M44" s="640" t="s">
        <v>578</v>
      </c>
      <c r="N44" s="640" t="s">
        <v>578</v>
      </c>
      <c r="O44" s="640" t="s">
        <v>578</v>
      </c>
      <c r="P44" s="640" t="s">
        <v>578</v>
      </c>
      <c r="Q44" s="502"/>
      <c r="R44" s="420"/>
    </row>
    <row r="45" spans="3:18">
      <c r="C45" s="577"/>
      <c r="D45" s="589"/>
      <c r="E45" s="420" t="s">
        <v>579</v>
      </c>
      <c r="F45" s="28" t="s">
        <v>411</v>
      </c>
      <c r="G45" s="385">
        <f t="shared" ref="G45:P45" si="17">_xlfn.XLOOKUP(G44,Long_haul_distance_names_L,Long_haul_distances_average_L)</f>
        <v>225</v>
      </c>
      <c r="H45" s="385">
        <f t="shared" si="17"/>
        <v>225</v>
      </c>
      <c r="I45" s="385">
        <f t="shared" si="17"/>
        <v>32.5</v>
      </c>
      <c r="J45" s="385">
        <f t="shared" si="17"/>
        <v>37.5</v>
      </c>
      <c r="K45" s="385">
        <f t="shared" si="17"/>
        <v>37.5</v>
      </c>
      <c r="L45" s="385">
        <f t="shared" si="17"/>
        <v>37.5</v>
      </c>
      <c r="M45" s="385">
        <f t="shared" si="17"/>
        <v>37.5</v>
      </c>
      <c r="N45" s="385">
        <f t="shared" si="17"/>
        <v>37.5</v>
      </c>
      <c r="O45" s="385">
        <f t="shared" si="17"/>
        <v>37.5</v>
      </c>
      <c r="P45" s="385">
        <f t="shared" si="17"/>
        <v>37.5</v>
      </c>
      <c r="Q45" s="502"/>
      <c r="R45" s="420"/>
    </row>
    <row r="46" spans="3:18">
      <c r="C46" s="577"/>
      <c r="D46" s="589"/>
      <c r="E46" s="420" t="s">
        <v>580</v>
      </c>
      <c r="F46" s="28" t="s">
        <v>581</v>
      </c>
      <c r="G46" s="367">
        <f>G45*G43</f>
        <v>0</v>
      </c>
      <c r="H46" s="367">
        <f>H45*H43</f>
        <v>0</v>
      </c>
      <c r="I46" s="367">
        <f t="shared" ref="I46:P46" si="18">I45*I43</f>
        <v>0</v>
      </c>
      <c r="J46" s="367">
        <f t="shared" si="18"/>
        <v>0</v>
      </c>
      <c r="K46" s="367">
        <f t="shared" si="18"/>
        <v>0</v>
      </c>
      <c r="L46" s="367">
        <f t="shared" si="18"/>
        <v>0</v>
      </c>
      <c r="M46" s="367">
        <f t="shared" si="18"/>
        <v>0</v>
      </c>
      <c r="N46" s="367">
        <f t="shared" si="18"/>
        <v>0</v>
      </c>
      <c r="O46" s="367">
        <f t="shared" si="18"/>
        <v>0</v>
      </c>
      <c r="P46" s="367">
        <f t="shared" si="18"/>
        <v>0</v>
      </c>
      <c r="Q46" s="502"/>
      <c r="R46" s="420"/>
    </row>
    <row r="47" spans="3:18">
      <c r="C47" s="577"/>
      <c r="D47" s="589"/>
      <c r="E47" s="420" t="s">
        <v>227</v>
      </c>
      <c r="F47" s="28" t="s">
        <v>582</v>
      </c>
      <c r="G47" s="342">
        <f t="shared" ref="G47:P47" si="19">IF(OR(G38=Concrete_rubble_debris_disposal,G38=Plastic_liner_disposal,G38=Asbestos_in_soil,G38=Asbestos_from_buildings,G38=Asbestos_from_pipe),_xlfn.XLOOKUP(G44,Long_haul_concrete_rubble_distances_CS,Long_haul_concrete_rubble_rates_CS),IF(OR(G38=Hazardous_waste,G38=Restricted_solid_waste,G38=Low_level_solid_waste),_xlfn.XLOOKUP(G44,Long_haul_soil_amend_names_volume_CS,Long_haul_soil_amend_rates_mass_CS),IF(G38=Oily_water_disposal,_xlfn.XLOOKUP(G44,Load_and_haul_water_names_CS,Load_and_haul_water_rates_CS),IF(G38=Steel_disposal,_xlfn.XLOOKUP(G44,Long_haul_steel_distances_CS,Long_haul_steel_rates_CS),IF(G38=Oil_disposal,_xlfn.XLOOKUP(G44,Long_haul_oil_names_CS,Long_haul_oil_rates_CS))))))</f>
        <v>0.39999928525016243</v>
      </c>
      <c r="H47" s="342">
        <f t="shared" si="19"/>
        <v>0.38908150747238457</v>
      </c>
      <c r="I47" s="342">
        <f t="shared" si="19"/>
        <v>0.27049306272216495</v>
      </c>
      <c r="J47" s="342">
        <f t="shared" si="19"/>
        <v>0.32986652405716321</v>
      </c>
      <c r="K47" s="342">
        <f t="shared" si="19"/>
        <v>0.32986652405716321</v>
      </c>
      <c r="L47" s="342">
        <f t="shared" si="19"/>
        <v>0.32986652405716321</v>
      </c>
      <c r="M47" s="342">
        <f t="shared" si="19"/>
        <v>0.32986652405716321</v>
      </c>
      <c r="N47" s="342">
        <f t="shared" si="19"/>
        <v>0.12388427816947212</v>
      </c>
      <c r="O47" s="342">
        <f t="shared" si="19"/>
        <v>0.12388427816947212</v>
      </c>
      <c r="P47" s="342">
        <f t="shared" si="19"/>
        <v>0.32986652405716321</v>
      </c>
      <c r="Q47" s="502"/>
      <c r="R47" s="420"/>
    </row>
    <row r="48" spans="3:18">
      <c r="C48" s="577"/>
      <c r="D48" s="589"/>
      <c r="E48" s="420" t="s">
        <v>229</v>
      </c>
      <c r="F48" s="28" t="s">
        <v>582</v>
      </c>
      <c r="G48" s="414"/>
      <c r="H48" s="414"/>
      <c r="I48" s="414"/>
      <c r="J48" s="414"/>
      <c r="K48" s="414"/>
      <c r="L48" s="414"/>
      <c r="M48" s="414"/>
      <c r="N48" s="414"/>
      <c r="O48" s="414"/>
      <c r="P48" s="414"/>
      <c r="Q48" s="502"/>
      <c r="R48" s="420"/>
    </row>
    <row r="49" spans="3:18">
      <c r="C49" s="579"/>
      <c r="D49" s="591"/>
      <c r="E49" s="420" t="s">
        <v>146</v>
      </c>
      <c r="F49" s="28" t="s">
        <v>207</v>
      </c>
      <c r="G49" s="424">
        <f t="shared" ref="G49:P49" si="20">G46*IF(G48="",G47,G48)</f>
        <v>0</v>
      </c>
      <c r="H49" s="424">
        <f t="shared" si="20"/>
        <v>0</v>
      </c>
      <c r="I49" s="424">
        <f t="shared" si="20"/>
        <v>0</v>
      </c>
      <c r="J49" s="424">
        <f t="shared" si="20"/>
        <v>0</v>
      </c>
      <c r="K49" s="424">
        <f t="shared" si="20"/>
        <v>0</v>
      </c>
      <c r="L49" s="424">
        <f t="shared" si="20"/>
        <v>0</v>
      </c>
      <c r="M49" s="424">
        <f t="shared" si="20"/>
        <v>0</v>
      </c>
      <c r="N49" s="424">
        <f t="shared" si="20"/>
        <v>0</v>
      </c>
      <c r="O49" s="424">
        <f t="shared" si="20"/>
        <v>0</v>
      </c>
      <c r="P49" s="424">
        <f t="shared" si="20"/>
        <v>0</v>
      </c>
      <c r="Q49" s="502"/>
      <c r="R49" s="420"/>
    </row>
    <row r="50" spans="3:18">
      <c r="C50" s="577" t="s">
        <v>583</v>
      </c>
      <c r="D50" s="589" t="s">
        <v>1140</v>
      </c>
      <c r="E50" s="420" t="s">
        <v>227</v>
      </c>
      <c r="F50" s="28" t="s">
        <v>352</v>
      </c>
      <c r="G50" s="342">
        <f t="shared" ref="G50:P50" si="21">_xlfn.XLOOKUP(G38,Waste_gate_fee_names_R,Waste_gate_fee_rates_R)</f>
        <v>2000</v>
      </c>
      <c r="H50" s="342">
        <f t="shared" si="21"/>
        <v>330</v>
      </c>
      <c r="I50" s="342">
        <f t="shared" si="21"/>
        <v>0</v>
      </c>
      <c r="J50" s="342">
        <f t="shared" si="21"/>
        <v>80</v>
      </c>
      <c r="K50" s="342">
        <f t="shared" si="21"/>
        <v>300</v>
      </c>
      <c r="L50" s="342">
        <f t="shared" si="21"/>
        <v>460</v>
      </c>
      <c r="M50" s="342">
        <f t="shared" si="21"/>
        <v>80</v>
      </c>
      <c r="N50" s="342">
        <f t="shared" si="21"/>
        <v>800</v>
      </c>
      <c r="O50" s="342">
        <f t="shared" si="21"/>
        <v>460</v>
      </c>
      <c r="P50" s="342">
        <f t="shared" si="21"/>
        <v>0.16799999999999998</v>
      </c>
      <c r="Q50" s="502"/>
      <c r="R50" s="420"/>
    </row>
    <row r="51" spans="3:18">
      <c r="C51" s="577"/>
      <c r="D51" s="589"/>
      <c r="E51" s="420" t="s">
        <v>229</v>
      </c>
      <c r="F51" s="28" t="s">
        <v>352</v>
      </c>
      <c r="G51" s="414"/>
      <c r="H51" s="414"/>
      <c r="I51" s="414"/>
      <c r="J51" s="414"/>
      <c r="K51" s="414"/>
      <c r="L51" s="414"/>
      <c r="M51" s="414"/>
      <c r="N51" s="414"/>
      <c r="O51" s="414"/>
      <c r="P51" s="414"/>
      <c r="Q51" s="502"/>
      <c r="R51" s="420"/>
    </row>
    <row r="52" spans="3:18">
      <c r="C52" s="579"/>
      <c r="D52" s="591"/>
      <c r="E52" s="420" t="s">
        <v>146</v>
      </c>
      <c r="F52" s="28" t="s">
        <v>207</v>
      </c>
      <c r="G52" s="424">
        <f t="shared" ref="G52:P52" si="22">IF(G51="",G50,G51)*G41</f>
        <v>0</v>
      </c>
      <c r="H52" s="424">
        <f t="shared" si="22"/>
        <v>0</v>
      </c>
      <c r="I52" s="424">
        <f t="shared" si="22"/>
        <v>0</v>
      </c>
      <c r="J52" s="424">
        <f t="shared" si="22"/>
        <v>0</v>
      </c>
      <c r="K52" s="424">
        <f t="shared" si="22"/>
        <v>0</v>
      </c>
      <c r="L52" s="424">
        <f t="shared" si="22"/>
        <v>0</v>
      </c>
      <c r="M52" s="424">
        <f t="shared" si="22"/>
        <v>0</v>
      </c>
      <c r="N52" s="424">
        <f t="shared" si="22"/>
        <v>0</v>
      </c>
      <c r="O52" s="424">
        <f t="shared" si="22"/>
        <v>0</v>
      </c>
      <c r="P52" s="424">
        <f t="shared" si="22"/>
        <v>0</v>
      </c>
      <c r="Q52" s="502"/>
      <c r="R52" s="420"/>
    </row>
    <row r="53" spans="3:18" ht="22.5">
      <c r="C53" s="628" t="s">
        <v>585</v>
      </c>
      <c r="D53" s="626" t="s">
        <v>1140</v>
      </c>
      <c r="E53" s="420" t="s">
        <v>311</v>
      </c>
      <c r="F53" s="28" t="s">
        <v>123</v>
      </c>
      <c r="G53" s="640" t="s">
        <v>588</v>
      </c>
      <c r="H53" s="640" t="s">
        <v>586</v>
      </c>
      <c r="I53" s="640" t="s">
        <v>586</v>
      </c>
      <c r="J53" s="640" t="s">
        <v>587</v>
      </c>
      <c r="K53" s="640" t="s">
        <v>587</v>
      </c>
      <c r="L53" s="640" t="s">
        <v>587</v>
      </c>
      <c r="M53" s="640" t="s">
        <v>587</v>
      </c>
      <c r="N53" s="640" t="s">
        <v>587</v>
      </c>
      <c r="O53" s="640" t="s">
        <v>587</v>
      </c>
      <c r="P53" s="640" t="s">
        <v>587</v>
      </c>
      <c r="Q53" s="502"/>
      <c r="R53" s="420"/>
    </row>
    <row r="54" spans="3:18">
      <c r="C54" s="577"/>
      <c r="D54" s="589"/>
      <c r="E54" s="420" t="s">
        <v>322</v>
      </c>
      <c r="F54" s="28" t="s">
        <v>221</v>
      </c>
      <c r="G54" s="385">
        <f>IF(G40="kL",0,G43)</f>
        <v>0</v>
      </c>
      <c r="H54" s="385">
        <f t="shared" ref="H54:P54" si="23">IF(H40="kL",0,H43)</f>
        <v>0</v>
      </c>
      <c r="I54" s="385">
        <f t="shared" si="23"/>
        <v>0</v>
      </c>
      <c r="J54" s="385">
        <f t="shared" si="23"/>
        <v>0</v>
      </c>
      <c r="K54" s="385">
        <f t="shared" si="23"/>
        <v>0</v>
      </c>
      <c r="L54" s="385">
        <f t="shared" si="23"/>
        <v>0</v>
      </c>
      <c r="M54" s="385">
        <f t="shared" si="23"/>
        <v>0</v>
      </c>
      <c r="N54" s="385">
        <f t="shared" si="23"/>
        <v>0</v>
      </c>
      <c r="O54" s="385">
        <f t="shared" si="23"/>
        <v>0</v>
      </c>
      <c r="P54" s="385">
        <f t="shared" si="23"/>
        <v>0</v>
      </c>
      <c r="Q54" s="502"/>
      <c r="R54" s="420"/>
    </row>
    <row r="55" spans="3:18">
      <c r="C55" s="577"/>
      <c r="D55" s="589"/>
      <c r="E55" s="420" t="s">
        <v>227</v>
      </c>
      <c r="F55" s="28" t="s">
        <v>228</v>
      </c>
      <c r="G55" s="342">
        <f t="shared" ref="G55:P55" si="24">_xlfn.XLOOKUP(G53,Waste_levy_names_R,Waste_levy_rates_R)</f>
        <v>170.1</v>
      </c>
      <c r="H55" s="342">
        <f t="shared" si="24"/>
        <v>97.9</v>
      </c>
      <c r="I55" s="342">
        <f t="shared" si="24"/>
        <v>97.9</v>
      </c>
      <c r="J55" s="342">
        <f t="shared" si="24"/>
        <v>0</v>
      </c>
      <c r="K55" s="342">
        <f t="shared" si="24"/>
        <v>0</v>
      </c>
      <c r="L55" s="342">
        <f t="shared" si="24"/>
        <v>0</v>
      </c>
      <c r="M55" s="342">
        <f t="shared" si="24"/>
        <v>0</v>
      </c>
      <c r="N55" s="342">
        <f t="shared" si="24"/>
        <v>0</v>
      </c>
      <c r="O55" s="342">
        <f t="shared" si="24"/>
        <v>0</v>
      </c>
      <c r="P55" s="342">
        <f t="shared" si="24"/>
        <v>0</v>
      </c>
      <c r="Q55" s="502"/>
      <c r="R55" s="420"/>
    </row>
    <row r="56" spans="3:18">
      <c r="C56" s="577"/>
      <c r="D56" s="589"/>
      <c r="E56" s="420" t="s">
        <v>229</v>
      </c>
      <c r="F56" s="28" t="s">
        <v>228</v>
      </c>
      <c r="G56" s="414"/>
      <c r="H56" s="414"/>
      <c r="I56" s="414"/>
      <c r="J56" s="414"/>
      <c r="K56" s="414"/>
      <c r="L56" s="414"/>
      <c r="M56" s="414"/>
      <c r="N56" s="414"/>
      <c r="O56" s="414"/>
      <c r="P56" s="414"/>
      <c r="Q56" s="502"/>
      <c r="R56" s="420"/>
    </row>
    <row r="57" spans="3:18">
      <c r="C57" s="579"/>
      <c r="D57" s="591"/>
      <c r="E57" s="420" t="s">
        <v>146</v>
      </c>
      <c r="F57" s="28" t="s">
        <v>207</v>
      </c>
      <c r="G57" s="424">
        <f t="shared" ref="G57:P57" si="25">IF(G56="",G55,G56)*G54</f>
        <v>0</v>
      </c>
      <c r="H57" s="424">
        <f t="shared" si="25"/>
        <v>0</v>
      </c>
      <c r="I57" s="424">
        <f t="shared" si="25"/>
        <v>0</v>
      </c>
      <c r="J57" s="424">
        <f t="shared" si="25"/>
        <v>0</v>
      </c>
      <c r="K57" s="424">
        <f t="shared" si="25"/>
        <v>0</v>
      </c>
      <c r="L57" s="424">
        <f t="shared" si="25"/>
        <v>0</v>
      </c>
      <c r="M57" s="424">
        <f t="shared" si="25"/>
        <v>0</v>
      </c>
      <c r="N57" s="424">
        <f t="shared" si="25"/>
        <v>0</v>
      </c>
      <c r="O57" s="424">
        <f t="shared" si="25"/>
        <v>0</v>
      </c>
      <c r="P57" s="424">
        <f t="shared" si="25"/>
        <v>0</v>
      </c>
      <c r="Q57" s="502"/>
      <c r="R57" s="420"/>
    </row>
    <row r="58" spans="3:18" ht="12" thickBot="1">
      <c r="C58" s="550"/>
      <c r="D58" s="551"/>
      <c r="E58" s="552" t="str">
        <f>C38</f>
        <v>Waste Disposal</v>
      </c>
      <c r="F58" s="72"/>
      <c r="G58" s="365">
        <f t="shared" ref="G58:P58" si="26">G49+G52+G57</f>
        <v>0</v>
      </c>
      <c r="H58" s="365">
        <f t="shared" si="26"/>
        <v>0</v>
      </c>
      <c r="I58" s="365">
        <f t="shared" si="26"/>
        <v>0</v>
      </c>
      <c r="J58" s="365">
        <f t="shared" si="26"/>
        <v>0</v>
      </c>
      <c r="K58" s="365">
        <f t="shared" si="26"/>
        <v>0</v>
      </c>
      <c r="L58" s="365">
        <f t="shared" si="26"/>
        <v>0</v>
      </c>
      <c r="M58" s="365">
        <f t="shared" si="26"/>
        <v>0</v>
      </c>
      <c r="N58" s="365">
        <f t="shared" si="26"/>
        <v>0</v>
      </c>
      <c r="O58" s="365">
        <f t="shared" si="26"/>
        <v>0</v>
      </c>
      <c r="P58" s="365">
        <f t="shared" si="26"/>
        <v>0</v>
      </c>
      <c r="Q58" s="502"/>
      <c r="R58" s="420"/>
    </row>
    <row r="59" spans="3:18" ht="12" thickTop="1">
      <c r="C59" s="627" t="s">
        <v>589</v>
      </c>
      <c r="D59" s="626" t="s">
        <v>749</v>
      </c>
      <c r="E59" s="420" t="s">
        <v>591</v>
      </c>
      <c r="F59" s="28" t="s">
        <v>219</v>
      </c>
      <c r="G59" s="454"/>
      <c r="H59" s="454"/>
      <c r="I59" s="454"/>
      <c r="J59" s="454"/>
      <c r="K59" s="454"/>
      <c r="L59" s="454"/>
      <c r="M59" s="454"/>
      <c r="N59" s="454"/>
      <c r="O59" s="454"/>
      <c r="P59" s="454"/>
      <c r="Q59" s="502"/>
      <c r="R59" s="420"/>
    </row>
    <row r="60" spans="3:18">
      <c r="C60" s="577"/>
      <c r="D60" s="589"/>
      <c r="E60" s="420" t="s">
        <v>204</v>
      </c>
      <c r="F60" s="28" t="s">
        <v>352</v>
      </c>
      <c r="G60" s="342">
        <f>IF(G59=0,0,IF(G59&lt;=Biopile_minimum_volume_for_lump_sum_cost,'Cost Schedule'!$D$86,'Cost Schedule'!$D$87))</f>
        <v>0</v>
      </c>
      <c r="H60" s="342">
        <f>IF(H59=0,0,IF(H59&lt;=Biopile_minimum_volume_for_lump_sum_cost,'Cost Schedule'!$D$86,'Cost Schedule'!$D$87))</f>
        <v>0</v>
      </c>
      <c r="I60" s="342">
        <f>IF(I59=0,0,IF(I59&lt;=Biopile_minimum_volume_for_lump_sum_cost,'Cost Schedule'!$D$86,'Cost Schedule'!$D$87))</f>
        <v>0</v>
      </c>
      <c r="J60" s="342">
        <f>IF(J59=0,0,IF(J59&lt;=Biopile_minimum_volume_for_lump_sum_cost,'Cost Schedule'!$D$86,'Cost Schedule'!$D$87))</f>
        <v>0</v>
      </c>
      <c r="K60" s="342">
        <f>IF(K59=0,0,IF(K59&lt;=Biopile_minimum_volume_for_lump_sum_cost,'Cost Schedule'!$D$86,'Cost Schedule'!$D$87))</f>
        <v>0</v>
      </c>
      <c r="L60" s="342">
        <f>IF(L59=0,0,IF(L59&lt;=Biopile_minimum_volume_for_lump_sum_cost,'Cost Schedule'!$D$86,'Cost Schedule'!$D$87))</f>
        <v>0</v>
      </c>
      <c r="M60" s="342">
        <f>IF(M59=0,0,IF(M59&lt;=Biopile_minimum_volume_for_lump_sum_cost,'Cost Schedule'!$D$86,'Cost Schedule'!$D$87))</f>
        <v>0</v>
      </c>
      <c r="N60" s="342">
        <f>IF(N59=0,0,IF(N59&lt;=Biopile_minimum_volume_for_lump_sum_cost,'Cost Schedule'!$D$86,'Cost Schedule'!$D$87))</f>
        <v>0</v>
      </c>
      <c r="O60" s="342">
        <f>IF(O59=0,0,IF(O59&lt;=Biopile_minimum_volume_for_lump_sum_cost,'Cost Schedule'!$D$86,'Cost Schedule'!$D$87))</f>
        <v>0</v>
      </c>
      <c r="P60" s="342">
        <f>IF(P59=0,0,IF(P59&lt;=Biopile_minimum_volume_for_lump_sum_cost,'Cost Schedule'!$D$86,'Cost Schedule'!$D$87))</f>
        <v>0</v>
      </c>
      <c r="Q60" s="502"/>
      <c r="R60" s="420"/>
    </row>
    <row r="61" spans="3:18">
      <c r="C61" s="577"/>
      <c r="D61" s="589"/>
      <c r="E61" s="420" t="s">
        <v>592</v>
      </c>
      <c r="F61" s="28" t="s">
        <v>592</v>
      </c>
      <c r="G61" s="447" t="str">
        <f t="shared" ref="G61:P61" si="27">IF(G59&lt;=Biopile_minimum_volume_for_lump_sum_cost,"$","$/m3")</f>
        <v>$</v>
      </c>
      <c r="H61" s="447" t="str">
        <f t="shared" si="27"/>
        <v>$</v>
      </c>
      <c r="I61" s="447" t="str">
        <f t="shared" si="27"/>
        <v>$</v>
      </c>
      <c r="J61" s="447" t="str">
        <f t="shared" si="27"/>
        <v>$</v>
      </c>
      <c r="K61" s="447" t="str">
        <f t="shared" si="27"/>
        <v>$</v>
      </c>
      <c r="L61" s="447" t="str">
        <f t="shared" si="27"/>
        <v>$</v>
      </c>
      <c r="M61" s="447" t="str">
        <f t="shared" si="27"/>
        <v>$</v>
      </c>
      <c r="N61" s="447" t="str">
        <f t="shared" si="27"/>
        <v>$</v>
      </c>
      <c r="O61" s="447" t="str">
        <f t="shared" si="27"/>
        <v>$</v>
      </c>
      <c r="P61" s="447" t="str">
        <f t="shared" si="27"/>
        <v>$</v>
      </c>
      <c r="Q61" s="502"/>
      <c r="R61" s="420"/>
    </row>
    <row r="62" spans="3:18">
      <c r="C62" s="577"/>
      <c r="D62" s="589"/>
      <c r="E62" s="420" t="s">
        <v>229</v>
      </c>
      <c r="F62" s="28" t="s">
        <v>593</v>
      </c>
      <c r="G62" s="414"/>
      <c r="H62" s="414"/>
      <c r="I62" s="414"/>
      <c r="J62" s="414"/>
      <c r="K62" s="414"/>
      <c r="L62" s="414"/>
      <c r="M62" s="414"/>
      <c r="N62" s="414"/>
      <c r="O62" s="414"/>
      <c r="P62" s="414"/>
      <c r="Q62" s="502"/>
      <c r="R62" s="420"/>
    </row>
    <row r="63" spans="3:18">
      <c r="C63" s="577"/>
      <c r="D63" s="589"/>
      <c r="E63" s="420" t="s">
        <v>146</v>
      </c>
      <c r="F63" s="28" t="s">
        <v>207</v>
      </c>
      <c r="G63" s="448">
        <f t="shared" ref="G63:P63" si="28">IF(AND(G59&lt;=Biopile_minimum_volume_for_lump_sum_cost,G62=""),G60,IF(AND(G59&lt;=Biopile_minimum_volume_for_lump_sum_cost,G62&lt;&gt;""),G62,G59*IF(G62="",G60,G62)))</f>
        <v>0</v>
      </c>
      <c r="H63" s="448">
        <f t="shared" si="28"/>
        <v>0</v>
      </c>
      <c r="I63" s="448">
        <f t="shared" si="28"/>
        <v>0</v>
      </c>
      <c r="J63" s="448">
        <f t="shared" si="28"/>
        <v>0</v>
      </c>
      <c r="K63" s="448">
        <f t="shared" si="28"/>
        <v>0</v>
      </c>
      <c r="L63" s="448">
        <f t="shared" si="28"/>
        <v>0</v>
      </c>
      <c r="M63" s="448">
        <f t="shared" si="28"/>
        <v>0</v>
      </c>
      <c r="N63" s="448">
        <f t="shared" si="28"/>
        <v>0</v>
      </c>
      <c r="O63" s="448">
        <f t="shared" si="28"/>
        <v>0</v>
      </c>
      <c r="P63" s="448">
        <f t="shared" si="28"/>
        <v>0</v>
      </c>
      <c r="Q63" s="502"/>
      <c r="R63" s="420"/>
    </row>
    <row r="64" spans="3:18" ht="45">
      <c r="C64" s="577"/>
      <c r="D64" s="626" t="s">
        <v>594</v>
      </c>
      <c r="E64" s="420" t="s">
        <v>311</v>
      </c>
      <c r="F64" s="28" t="s">
        <v>123</v>
      </c>
      <c r="G64" s="640" t="s">
        <v>596</v>
      </c>
      <c r="H64" s="640" t="s">
        <v>596</v>
      </c>
      <c r="I64" s="640" t="s">
        <v>595</v>
      </c>
      <c r="J64" s="640" t="s">
        <v>595</v>
      </c>
      <c r="K64" s="640" t="s">
        <v>595</v>
      </c>
      <c r="L64" s="640" t="s">
        <v>595</v>
      </c>
      <c r="M64" s="640" t="s">
        <v>595</v>
      </c>
      <c r="N64" s="640" t="s">
        <v>595</v>
      </c>
      <c r="O64" s="640" t="s">
        <v>595</v>
      </c>
      <c r="P64" s="640" t="s">
        <v>595</v>
      </c>
      <c r="Q64" s="502"/>
      <c r="R64" s="420"/>
    </row>
    <row r="65" spans="2:18">
      <c r="C65" s="577"/>
      <c r="D65" s="589"/>
      <c r="E65" s="420" t="s">
        <v>355</v>
      </c>
      <c r="G65" s="455"/>
      <c r="H65" s="455"/>
      <c r="I65" s="455"/>
      <c r="J65" s="455"/>
      <c r="K65" s="455"/>
      <c r="L65" s="455"/>
      <c r="M65" s="455"/>
      <c r="N65" s="455"/>
      <c r="O65" s="455"/>
      <c r="P65" s="455"/>
      <c r="Q65" s="502"/>
      <c r="R65" s="420"/>
    </row>
    <row r="66" spans="2:18">
      <c r="C66" s="577"/>
      <c r="D66" s="589"/>
      <c r="E66" s="420" t="s">
        <v>353</v>
      </c>
      <c r="G66" s="385" t="str">
        <f t="shared" ref="G66:P66" si="29">_xlfn.XLOOKUP(G64,Contaminated_soil_names_CS,Contaminated_soil_units_CS)</f>
        <v>t</v>
      </c>
      <c r="H66" s="385" t="str">
        <f t="shared" si="29"/>
        <v>t</v>
      </c>
      <c r="I66" s="385" t="str">
        <f t="shared" si="29"/>
        <v>m3</v>
      </c>
      <c r="J66" s="385" t="str">
        <f t="shared" si="29"/>
        <v>m3</v>
      </c>
      <c r="K66" s="385" t="str">
        <f t="shared" si="29"/>
        <v>m3</v>
      </c>
      <c r="L66" s="385" t="str">
        <f t="shared" si="29"/>
        <v>m3</v>
      </c>
      <c r="M66" s="385" t="str">
        <f t="shared" si="29"/>
        <v>m3</v>
      </c>
      <c r="N66" s="385" t="str">
        <f t="shared" si="29"/>
        <v>m3</v>
      </c>
      <c r="O66" s="385" t="str">
        <f t="shared" si="29"/>
        <v>m3</v>
      </c>
      <c r="P66" s="385" t="str">
        <f t="shared" si="29"/>
        <v>m3</v>
      </c>
      <c r="Q66" s="502"/>
      <c r="R66" s="420"/>
    </row>
    <row r="67" spans="2:18">
      <c r="C67" s="577"/>
      <c r="D67" s="589"/>
      <c r="E67" s="420" t="s">
        <v>227</v>
      </c>
      <c r="F67" s="28" t="s">
        <v>352</v>
      </c>
      <c r="G67" s="342">
        <f t="shared" ref="G67:P67" si="30">_xlfn.XLOOKUP(G64,Contaminated_soil_names_CS,Contaminated_soil_rates_CS)</f>
        <v>400</v>
      </c>
      <c r="H67" s="342">
        <f t="shared" si="30"/>
        <v>400</v>
      </c>
      <c r="I67" s="342">
        <f t="shared" si="30"/>
        <v>34.320540423513727</v>
      </c>
      <c r="J67" s="342">
        <f t="shared" si="30"/>
        <v>34.320540423513727</v>
      </c>
      <c r="K67" s="342">
        <f t="shared" si="30"/>
        <v>34.320540423513727</v>
      </c>
      <c r="L67" s="342">
        <f t="shared" si="30"/>
        <v>34.320540423513727</v>
      </c>
      <c r="M67" s="342">
        <f t="shared" si="30"/>
        <v>34.320540423513727</v>
      </c>
      <c r="N67" s="342">
        <f t="shared" si="30"/>
        <v>34.320540423513727</v>
      </c>
      <c r="O67" s="342">
        <f t="shared" si="30"/>
        <v>34.320540423513727</v>
      </c>
      <c r="P67" s="342">
        <f t="shared" si="30"/>
        <v>34.320540423513727</v>
      </c>
      <c r="Q67" s="502"/>
      <c r="R67" s="420"/>
    </row>
    <row r="68" spans="2:18">
      <c r="C68" s="577"/>
      <c r="D68" s="589"/>
      <c r="E68" s="420" t="s">
        <v>229</v>
      </c>
      <c r="F68" s="28" t="s">
        <v>352</v>
      </c>
      <c r="G68" s="414"/>
      <c r="H68" s="414"/>
      <c r="I68" s="414"/>
      <c r="J68" s="414"/>
      <c r="K68" s="414"/>
      <c r="L68" s="414"/>
      <c r="M68" s="414"/>
      <c r="N68" s="414"/>
      <c r="O68" s="414"/>
      <c r="P68" s="414"/>
      <c r="Q68" s="502"/>
      <c r="R68" s="420"/>
    </row>
    <row r="69" spans="2:18">
      <c r="C69" s="579"/>
      <c r="D69" s="591"/>
      <c r="E69" s="420" t="s">
        <v>146</v>
      </c>
      <c r="F69" s="28" t="s">
        <v>207</v>
      </c>
      <c r="G69" s="424">
        <f t="shared" ref="G69:P69" si="31">IF(G68="",G67,G68)*G65</f>
        <v>0</v>
      </c>
      <c r="H69" s="424">
        <f t="shared" si="31"/>
        <v>0</v>
      </c>
      <c r="I69" s="424">
        <f t="shared" si="31"/>
        <v>0</v>
      </c>
      <c r="J69" s="424">
        <f t="shared" si="31"/>
        <v>0</v>
      </c>
      <c r="K69" s="424">
        <f t="shared" si="31"/>
        <v>0</v>
      </c>
      <c r="L69" s="424">
        <f t="shared" si="31"/>
        <v>0</v>
      </c>
      <c r="M69" s="424">
        <f t="shared" si="31"/>
        <v>0</v>
      </c>
      <c r="N69" s="424">
        <f t="shared" si="31"/>
        <v>0</v>
      </c>
      <c r="O69" s="424">
        <f t="shared" si="31"/>
        <v>0</v>
      </c>
      <c r="P69" s="424">
        <f t="shared" si="31"/>
        <v>0</v>
      </c>
      <c r="Q69" s="502"/>
      <c r="R69" s="420"/>
    </row>
    <row r="70" spans="2:18">
      <c r="C70" s="629"/>
      <c r="D70" s="630"/>
      <c r="E70" s="552" t="str">
        <f>C59</f>
        <v>Contaminated soil treat on-site</v>
      </c>
      <c r="F70" s="62"/>
      <c r="G70" s="631">
        <f>G63+G69</f>
        <v>0</v>
      </c>
      <c r="H70" s="631">
        <f t="shared" ref="H70:P70" si="32">H63+H69</f>
        <v>0</v>
      </c>
      <c r="I70" s="631">
        <f t="shared" si="32"/>
        <v>0</v>
      </c>
      <c r="J70" s="631">
        <f t="shared" si="32"/>
        <v>0</v>
      </c>
      <c r="K70" s="631">
        <f t="shared" si="32"/>
        <v>0</v>
      </c>
      <c r="L70" s="631">
        <f t="shared" si="32"/>
        <v>0</v>
      </c>
      <c r="M70" s="631">
        <f t="shared" si="32"/>
        <v>0</v>
      </c>
      <c r="N70" s="631">
        <f t="shared" si="32"/>
        <v>0</v>
      </c>
      <c r="O70" s="631">
        <f t="shared" si="32"/>
        <v>0</v>
      </c>
      <c r="P70" s="631">
        <f t="shared" si="32"/>
        <v>0</v>
      </c>
      <c r="Q70" s="502"/>
      <c r="R70" s="420"/>
    </row>
    <row r="71" spans="2:18" ht="67.5">
      <c r="C71" s="627" t="s">
        <v>1141</v>
      </c>
      <c r="D71" s="626" t="s">
        <v>1142</v>
      </c>
      <c r="E71" s="333" t="s">
        <v>436</v>
      </c>
      <c r="F71" s="28" t="s">
        <v>123</v>
      </c>
      <c r="G71" s="639" t="s">
        <v>889</v>
      </c>
      <c r="H71" s="639" t="s">
        <v>742</v>
      </c>
      <c r="I71" s="639" t="s">
        <v>535</v>
      </c>
      <c r="J71" s="639" t="s">
        <v>743</v>
      </c>
      <c r="K71" s="639" t="s">
        <v>536</v>
      </c>
      <c r="L71" s="639" t="s">
        <v>537</v>
      </c>
      <c r="M71" s="639" t="s">
        <v>538</v>
      </c>
      <c r="N71" s="639" t="s">
        <v>1113</v>
      </c>
      <c r="O71" s="639" t="s">
        <v>889</v>
      </c>
      <c r="P71" s="639" t="s">
        <v>742</v>
      </c>
      <c r="Q71" s="502"/>
      <c r="R71" s="420"/>
    </row>
    <row r="72" spans="2:18">
      <c r="C72" s="545"/>
      <c r="D72" s="589"/>
      <c r="E72" s="333" t="s">
        <v>214</v>
      </c>
      <c r="F72" s="28" t="s">
        <v>299</v>
      </c>
      <c r="G72" s="460"/>
      <c r="H72" s="460"/>
      <c r="I72" s="460"/>
      <c r="J72" s="460"/>
      <c r="K72" s="460"/>
      <c r="L72" s="460"/>
      <c r="M72" s="460"/>
      <c r="N72" s="460"/>
      <c r="O72" s="460"/>
      <c r="P72" s="460"/>
      <c r="Q72" s="502"/>
      <c r="R72" s="420"/>
    </row>
    <row r="73" spans="2:18">
      <c r="C73" s="545"/>
      <c r="D73" s="589"/>
      <c r="E73" s="333" t="s">
        <v>227</v>
      </c>
      <c r="F73" s="28" t="s">
        <v>329</v>
      </c>
      <c r="G73" s="342">
        <f t="shared" ref="G73:P73" si="33">_xlfn.XLOOKUP(G71,Maintenance_rehab_areas_names_CS,Maintenance_rehab_areas_rates_CS)</f>
        <v>156.38726940000001</v>
      </c>
      <c r="H73" s="342">
        <f t="shared" si="33"/>
        <v>473.09634541637763</v>
      </c>
      <c r="I73" s="342">
        <f t="shared" si="33"/>
        <v>1047.9768316769243</v>
      </c>
      <c r="J73" s="342">
        <f t="shared" si="33"/>
        <v>1266.6334079070016</v>
      </c>
      <c r="K73" s="342">
        <f t="shared" si="33"/>
        <v>1978.1198943934883</v>
      </c>
      <c r="L73" s="342">
        <f t="shared" si="33"/>
        <v>3401.0928673664612</v>
      </c>
      <c r="M73" s="342">
        <f t="shared" si="33"/>
        <v>27579.416003948303</v>
      </c>
      <c r="N73" s="342">
        <f t="shared" si="33"/>
        <v>32382.535534477211</v>
      </c>
      <c r="O73" s="342">
        <f t="shared" si="33"/>
        <v>156.38726940000001</v>
      </c>
      <c r="P73" s="342">
        <f t="shared" si="33"/>
        <v>473.09634541637763</v>
      </c>
      <c r="Q73" s="502"/>
      <c r="R73" s="420"/>
    </row>
    <row r="74" spans="2:18">
      <c r="C74" s="545"/>
      <c r="D74" s="589"/>
      <c r="E74" s="333" t="s">
        <v>206</v>
      </c>
      <c r="F74" s="28" t="s">
        <v>329</v>
      </c>
      <c r="G74" s="414"/>
      <c r="H74" s="414"/>
      <c r="I74" s="414"/>
      <c r="J74" s="414"/>
      <c r="K74" s="414"/>
      <c r="L74" s="414"/>
      <c r="M74" s="414"/>
      <c r="N74" s="414"/>
      <c r="O74" s="414"/>
      <c r="P74" s="414"/>
      <c r="Q74" s="502"/>
      <c r="R74" s="420"/>
    </row>
    <row r="75" spans="2:18">
      <c r="C75" s="548"/>
      <c r="D75" s="591"/>
      <c r="E75" s="333" t="s">
        <v>146</v>
      </c>
      <c r="F75" s="28" t="s">
        <v>207</v>
      </c>
      <c r="G75" s="424">
        <f t="shared" ref="G75:P75" si="34">G72*IF(G74="",G73,G74)</f>
        <v>0</v>
      </c>
      <c r="H75" s="424">
        <f t="shared" si="34"/>
        <v>0</v>
      </c>
      <c r="I75" s="424">
        <f t="shared" si="34"/>
        <v>0</v>
      </c>
      <c r="J75" s="424">
        <f t="shared" si="34"/>
        <v>0</v>
      </c>
      <c r="K75" s="424">
        <f t="shared" si="34"/>
        <v>0</v>
      </c>
      <c r="L75" s="424">
        <f t="shared" si="34"/>
        <v>0</v>
      </c>
      <c r="M75" s="424">
        <f t="shared" si="34"/>
        <v>0</v>
      </c>
      <c r="N75" s="424">
        <f t="shared" si="34"/>
        <v>0</v>
      </c>
      <c r="O75" s="424">
        <f t="shared" si="34"/>
        <v>0</v>
      </c>
      <c r="P75" s="424">
        <f t="shared" si="34"/>
        <v>0</v>
      </c>
      <c r="Q75" s="502"/>
      <c r="R75" s="420"/>
    </row>
    <row r="76" spans="2:18">
      <c r="C76" s="629"/>
      <c r="D76" s="630"/>
      <c r="E76" s="552" t="str">
        <f>C71</f>
        <v xml:space="preserve">Rehabilitate Land </v>
      </c>
      <c r="F76" s="62"/>
      <c r="G76" s="631">
        <f>G75</f>
        <v>0</v>
      </c>
      <c r="H76" s="631">
        <f t="shared" ref="H76:P76" si="35">H75</f>
        <v>0</v>
      </c>
      <c r="I76" s="631">
        <f t="shared" si="35"/>
        <v>0</v>
      </c>
      <c r="J76" s="631">
        <f t="shared" si="35"/>
        <v>0</v>
      </c>
      <c r="K76" s="631">
        <f t="shared" si="35"/>
        <v>0</v>
      </c>
      <c r="L76" s="631">
        <f t="shared" si="35"/>
        <v>0</v>
      </c>
      <c r="M76" s="631">
        <f t="shared" si="35"/>
        <v>0</v>
      </c>
      <c r="N76" s="631">
        <f t="shared" si="35"/>
        <v>0</v>
      </c>
      <c r="O76" s="631">
        <f t="shared" si="35"/>
        <v>0</v>
      </c>
      <c r="P76" s="631">
        <f t="shared" si="35"/>
        <v>0</v>
      </c>
      <c r="Q76" s="502"/>
      <c r="R76" s="420"/>
    </row>
    <row r="77" spans="2:18">
      <c r="G77" s="28"/>
      <c r="H77" s="28"/>
      <c r="I77" s="28"/>
      <c r="J77" s="28"/>
      <c r="K77" s="28"/>
      <c r="L77" s="28"/>
      <c r="M77" s="28"/>
      <c r="N77" s="28"/>
      <c r="O77" s="28"/>
      <c r="P77" s="28"/>
      <c r="Q77" s="125"/>
    </row>
    <row r="78" spans="2:18" ht="12.75">
      <c r="B78" s="514"/>
      <c r="C78" s="566" t="s">
        <v>601</v>
      </c>
      <c r="G78" s="28"/>
      <c r="H78" s="28"/>
      <c r="I78" s="28"/>
      <c r="J78" s="28"/>
      <c r="K78" s="28"/>
      <c r="L78" s="28"/>
      <c r="M78" s="28"/>
      <c r="N78" s="28"/>
      <c r="O78" s="28"/>
      <c r="P78" s="28"/>
      <c r="Q78" s="125"/>
      <c r="R78" s="499"/>
    </row>
    <row r="79" spans="2:18" ht="12.75" hidden="1">
      <c r="B79" s="94" t="s">
        <v>533</v>
      </c>
      <c r="C79" s="175" t="s">
        <v>858</v>
      </c>
      <c r="G79" s="103" t="str">
        <f t="shared" ref="G79:P79" si="36">IF(AND(G$76&gt;0,G$111+G$141+G$155+G$175+G$210+G$228&gt;0),"Quantities added to both tables","ok")</f>
        <v>ok</v>
      </c>
      <c r="H79" s="103" t="str">
        <f t="shared" si="36"/>
        <v>ok</v>
      </c>
      <c r="I79" s="103" t="str">
        <f t="shared" si="36"/>
        <v>ok</v>
      </c>
      <c r="J79" s="103" t="str">
        <f t="shared" si="36"/>
        <v>ok</v>
      </c>
      <c r="K79" s="103" t="str">
        <f t="shared" si="36"/>
        <v>ok</v>
      </c>
      <c r="L79" s="103" t="str">
        <f t="shared" si="36"/>
        <v>ok</v>
      </c>
      <c r="M79" s="103" t="str">
        <f t="shared" si="36"/>
        <v>ok</v>
      </c>
      <c r="N79" s="103" t="str">
        <f t="shared" si="36"/>
        <v>ok</v>
      </c>
      <c r="O79" s="103" t="str">
        <f t="shared" si="36"/>
        <v>ok</v>
      </c>
      <c r="P79" s="103" t="str">
        <f t="shared" si="36"/>
        <v>ok</v>
      </c>
      <c r="Q79" s="125"/>
      <c r="R79" s="131"/>
    </row>
    <row r="80" spans="2:18" ht="12.75" hidden="1">
      <c r="B80" s="94" t="s">
        <v>533</v>
      </c>
      <c r="C80" s="175" t="s">
        <v>941</v>
      </c>
      <c r="G80" s="28"/>
      <c r="H80" s="28"/>
      <c r="I80" s="28"/>
      <c r="J80" s="28"/>
      <c r="K80" s="28"/>
      <c r="L80" s="28"/>
      <c r="M80" s="28"/>
      <c r="N80" s="28"/>
      <c r="O80" s="28"/>
      <c r="P80" s="28"/>
      <c r="Q80" s="125"/>
    </row>
    <row r="81" spans="2:18" ht="34.5" hidden="1" thickBot="1">
      <c r="B81" s="94" t="s">
        <v>533</v>
      </c>
      <c r="C81" s="171" t="s">
        <v>185</v>
      </c>
      <c r="D81" s="104" t="s">
        <v>186</v>
      </c>
      <c r="E81" s="104" t="s">
        <v>187</v>
      </c>
      <c r="F81" s="81" t="s">
        <v>592</v>
      </c>
      <c r="G81" s="641" t="s">
        <v>417</v>
      </c>
      <c r="H81" s="641" t="s">
        <v>417</v>
      </c>
      <c r="I81" s="641" t="s">
        <v>417</v>
      </c>
      <c r="J81" s="641" t="s">
        <v>417</v>
      </c>
      <c r="K81" s="641" t="s">
        <v>417</v>
      </c>
      <c r="L81" s="641" t="s">
        <v>417</v>
      </c>
      <c r="M81" s="641" t="s">
        <v>417</v>
      </c>
      <c r="N81" s="641" t="s">
        <v>417</v>
      </c>
      <c r="O81" s="641" t="s">
        <v>417</v>
      </c>
      <c r="P81" s="641" t="s">
        <v>417</v>
      </c>
      <c r="Q81" s="144" t="s">
        <v>190</v>
      </c>
      <c r="R81" s="43" t="s">
        <v>191</v>
      </c>
    </row>
    <row r="82" spans="2:18" hidden="1">
      <c r="B82" s="94" t="s">
        <v>533</v>
      </c>
      <c r="C82" s="172" t="s">
        <v>1143</v>
      </c>
      <c r="D82" s="48" t="s">
        <v>604</v>
      </c>
      <c r="E82" s="27" t="s">
        <v>605</v>
      </c>
      <c r="F82" s="28" t="s">
        <v>299</v>
      </c>
      <c r="G82" s="411"/>
      <c r="H82" s="411"/>
      <c r="I82" s="411"/>
      <c r="J82" s="411"/>
      <c r="K82" s="411"/>
      <c r="L82" s="411"/>
      <c r="M82" s="411"/>
      <c r="N82" s="411"/>
      <c r="O82" s="411"/>
      <c r="P82" s="411"/>
      <c r="Q82" s="502"/>
      <c r="R82" s="49"/>
    </row>
    <row r="83" spans="2:18" hidden="1">
      <c r="B83" s="94" t="s">
        <v>533</v>
      </c>
      <c r="C83" s="50" t="s">
        <v>606</v>
      </c>
      <c r="D83" s="51" t="s">
        <v>632</v>
      </c>
      <c r="E83" s="27" t="s">
        <v>608</v>
      </c>
      <c r="F83" s="28" t="s">
        <v>123</v>
      </c>
      <c r="G83" s="642" t="s">
        <v>633</v>
      </c>
      <c r="H83" s="642" t="s">
        <v>611</v>
      </c>
      <c r="I83" s="642" t="s">
        <v>609</v>
      </c>
      <c r="J83" s="642" t="s">
        <v>611</v>
      </c>
      <c r="K83" s="642" t="s">
        <v>609</v>
      </c>
      <c r="L83" s="642" t="s">
        <v>611</v>
      </c>
      <c r="M83" s="642" t="s">
        <v>609</v>
      </c>
      <c r="N83" s="642" t="s">
        <v>611</v>
      </c>
      <c r="O83" s="642" t="s">
        <v>609</v>
      </c>
      <c r="P83" s="642" t="s">
        <v>611</v>
      </c>
      <c r="Q83" s="502"/>
      <c r="R83" s="49"/>
    </row>
    <row r="84" spans="2:18" hidden="1">
      <c r="B84" s="94" t="s">
        <v>533</v>
      </c>
      <c r="C84" s="52"/>
      <c r="D84" s="53"/>
      <c r="E84" s="48" t="s">
        <v>214</v>
      </c>
      <c r="F84" s="28" t="s">
        <v>215</v>
      </c>
      <c r="G84" s="58">
        <f t="shared" ref="G84:P84" si="37">G82*Conv_sqm_ha</f>
        <v>0</v>
      </c>
      <c r="H84" s="58">
        <f t="shared" si="37"/>
        <v>0</v>
      </c>
      <c r="I84" s="58">
        <f t="shared" si="37"/>
        <v>0</v>
      </c>
      <c r="J84" s="58">
        <f t="shared" si="37"/>
        <v>0</v>
      </c>
      <c r="K84" s="58">
        <f t="shared" si="37"/>
        <v>0</v>
      </c>
      <c r="L84" s="58">
        <f t="shared" si="37"/>
        <v>0</v>
      </c>
      <c r="M84" s="58">
        <f t="shared" si="37"/>
        <v>0</v>
      </c>
      <c r="N84" s="58">
        <f t="shared" si="37"/>
        <v>0</v>
      </c>
      <c r="O84" s="58">
        <f t="shared" si="37"/>
        <v>0</v>
      </c>
      <c r="P84" s="58">
        <f t="shared" si="37"/>
        <v>0</v>
      </c>
      <c r="Q84" s="502"/>
      <c r="R84" s="49"/>
    </row>
    <row r="85" spans="2:18" hidden="1">
      <c r="B85" s="94" t="s">
        <v>533</v>
      </c>
      <c r="C85" s="52"/>
      <c r="D85" s="53"/>
      <c r="E85" s="48" t="s">
        <v>612</v>
      </c>
      <c r="F85" s="28" t="s">
        <v>613</v>
      </c>
      <c r="G85" s="105">
        <f t="shared" ref="G85:P85" si="38">IF(G83=Earthen,0,Track_rock_gravel_bitumen_cover_thickness)</f>
        <v>150</v>
      </c>
      <c r="H85" s="105">
        <f t="shared" si="38"/>
        <v>150</v>
      </c>
      <c r="I85" s="105">
        <f t="shared" si="38"/>
        <v>150</v>
      </c>
      <c r="J85" s="105">
        <f t="shared" si="38"/>
        <v>150</v>
      </c>
      <c r="K85" s="105">
        <f t="shared" si="38"/>
        <v>150</v>
      </c>
      <c r="L85" s="105">
        <f t="shared" si="38"/>
        <v>150</v>
      </c>
      <c r="M85" s="105">
        <f t="shared" si="38"/>
        <v>150</v>
      </c>
      <c r="N85" s="105">
        <f t="shared" si="38"/>
        <v>150</v>
      </c>
      <c r="O85" s="105">
        <f t="shared" si="38"/>
        <v>150</v>
      </c>
      <c r="P85" s="105">
        <f t="shared" si="38"/>
        <v>150</v>
      </c>
      <c r="Q85" s="502"/>
      <c r="R85" s="49"/>
    </row>
    <row r="86" spans="2:18" hidden="1">
      <c r="B86" s="94" t="s">
        <v>533</v>
      </c>
      <c r="C86" s="52"/>
      <c r="D86" s="53"/>
      <c r="E86" s="48" t="s">
        <v>307</v>
      </c>
      <c r="F86" s="28" t="s">
        <v>219</v>
      </c>
      <c r="G86" s="58">
        <f t="shared" ref="G86:P86" si="39">G84*G85/Conv_mm_in_metres</f>
        <v>0</v>
      </c>
      <c r="H86" s="58">
        <f t="shared" si="39"/>
        <v>0</v>
      </c>
      <c r="I86" s="58">
        <f t="shared" si="39"/>
        <v>0</v>
      </c>
      <c r="J86" s="58">
        <f t="shared" si="39"/>
        <v>0</v>
      </c>
      <c r="K86" s="58">
        <f t="shared" si="39"/>
        <v>0</v>
      </c>
      <c r="L86" s="58">
        <f t="shared" si="39"/>
        <v>0</v>
      </c>
      <c r="M86" s="58">
        <f t="shared" si="39"/>
        <v>0</v>
      </c>
      <c r="N86" s="58">
        <f t="shared" si="39"/>
        <v>0</v>
      </c>
      <c r="O86" s="58">
        <f t="shared" si="39"/>
        <v>0</v>
      </c>
      <c r="P86" s="58">
        <f t="shared" si="39"/>
        <v>0</v>
      </c>
      <c r="Q86" s="502"/>
      <c r="R86" s="49"/>
    </row>
    <row r="87" spans="2:18" ht="33.75" hidden="1">
      <c r="B87" s="94" t="s">
        <v>533</v>
      </c>
      <c r="C87" s="56"/>
      <c r="D87" s="46"/>
      <c r="E87" s="48" t="s">
        <v>634</v>
      </c>
      <c r="F87" s="28" t="s">
        <v>123</v>
      </c>
      <c r="G87" s="643" t="s">
        <v>973</v>
      </c>
      <c r="H87" s="643" t="s">
        <v>615</v>
      </c>
      <c r="I87" s="643" t="s">
        <v>615</v>
      </c>
      <c r="J87" s="643" t="s">
        <v>615</v>
      </c>
      <c r="K87" s="643" t="s">
        <v>615</v>
      </c>
      <c r="L87" s="643" t="s">
        <v>615</v>
      </c>
      <c r="M87" s="643" t="s">
        <v>615</v>
      </c>
      <c r="N87" s="643" t="s">
        <v>615</v>
      </c>
      <c r="O87" s="643" t="s">
        <v>615</v>
      </c>
      <c r="P87" s="643" t="s">
        <v>615</v>
      </c>
      <c r="Q87" s="502"/>
      <c r="R87" s="49"/>
    </row>
    <row r="88" spans="2:18" hidden="1">
      <c r="B88" s="94" t="s">
        <v>533</v>
      </c>
      <c r="C88" s="50" t="s">
        <v>616</v>
      </c>
      <c r="D88" s="51" t="s">
        <v>632</v>
      </c>
      <c r="E88" s="49" t="s">
        <v>204</v>
      </c>
      <c r="F88" s="28" t="s">
        <v>241</v>
      </c>
      <c r="G88" s="54">
        <f t="shared" ref="G88:P88" si="40">IF(G85=0,0,_xlfn.XLOOKUP(G87,Load_haul_fill_names_CS,Load_haul_fill_rates_CS))</f>
        <v>4.7785913685160599</v>
      </c>
      <c r="H88" s="54">
        <f t="shared" si="40"/>
        <v>6.1704247018493934</v>
      </c>
      <c r="I88" s="54">
        <f t="shared" si="40"/>
        <v>6.1704247018493934</v>
      </c>
      <c r="J88" s="54">
        <f t="shared" si="40"/>
        <v>6.1704247018493934</v>
      </c>
      <c r="K88" s="54">
        <f t="shared" si="40"/>
        <v>6.1704247018493934</v>
      </c>
      <c r="L88" s="54">
        <f t="shared" si="40"/>
        <v>6.1704247018493934</v>
      </c>
      <c r="M88" s="54">
        <f t="shared" si="40"/>
        <v>6.1704247018493934</v>
      </c>
      <c r="N88" s="54">
        <f t="shared" si="40"/>
        <v>6.1704247018493934</v>
      </c>
      <c r="O88" s="54">
        <f t="shared" si="40"/>
        <v>6.1704247018493934</v>
      </c>
      <c r="P88" s="54">
        <f t="shared" si="40"/>
        <v>6.1704247018493934</v>
      </c>
      <c r="Q88" s="502"/>
      <c r="R88" s="49"/>
    </row>
    <row r="89" spans="2:18" hidden="1">
      <c r="B89" s="94" t="s">
        <v>533</v>
      </c>
      <c r="C89" s="52"/>
      <c r="D89" s="53"/>
      <c r="E89" s="49" t="s">
        <v>206</v>
      </c>
      <c r="F89" s="28" t="s">
        <v>241</v>
      </c>
      <c r="G89" s="414"/>
      <c r="H89" s="414"/>
      <c r="I89" s="414"/>
      <c r="J89" s="414"/>
      <c r="K89" s="414"/>
      <c r="L89" s="414"/>
      <c r="M89" s="414"/>
      <c r="N89" s="414"/>
      <c r="O89" s="414"/>
      <c r="P89" s="414"/>
      <c r="Q89" s="502"/>
      <c r="R89" s="49"/>
    </row>
    <row r="90" spans="2:18" hidden="1">
      <c r="B90" s="94" t="s">
        <v>533</v>
      </c>
      <c r="C90" s="56"/>
      <c r="D90" s="46"/>
      <c r="E90" s="49" t="s">
        <v>146</v>
      </c>
      <c r="F90" s="28" t="s">
        <v>207</v>
      </c>
      <c r="G90" s="132">
        <f>IF(G89="",G88,G89)*G86</f>
        <v>0</v>
      </c>
      <c r="H90" s="132">
        <f t="shared" ref="H90:P90" si="41">IF(H89="",H88,H89)*H86</f>
        <v>0</v>
      </c>
      <c r="I90" s="132">
        <f t="shared" si="41"/>
        <v>0</v>
      </c>
      <c r="J90" s="132">
        <f t="shared" si="41"/>
        <v>0</v>
      </c>
      <c r="K90" s="132">
        <f t="shared" si="41"/>
        <v>0</v>
      </c>
      <c r="L90" s="132">
        <f t="shared" si="41"/>
        <v>0</v>
      </c>
      <c r="M90" s="132">
        <f t="shared" si="41"/>
        <v>0</v>
      </c>
      <c r="N90" s="132">
        <f t="shared" si="41"/>
        <v>0</v>
      </c>
      <c r="O90" s="132">
        <f t="shared" si="41"/>
        <v>0</v>
      </c>
      <c r="P90" s="132">
        <f t="shared" si="41"/>
        <v>0</v>
      </c>
      <c r="Q90" s="502"/>
      <c r="R90" s="49"/>
    </row>
    <row r="91" spans="2:18" hidden="1">
      <c r="B91" s="94" t="s">
        <v>533</v>
      </c>
      <c r="C91" s="50" t="s">
        <v>618</v>
      </c>
      <c r="D91" s="51" t="s">
        <v>636</v>
      </c>
      <c r="E91" s="48" t="s">
        <v>634</v>
      </c>
      <c r="F91" s="28" t="s">
        <v>123</v>
      </c>
      <c r="G91" s="644" t="s">
        <v>620</v>
      </c>
      <c r="H91" s="644" t="s">
        <v>621</v>
      </c>
      <c r="I91" s="644" t="s">
        <v>621</v>
      </c>
      <c r="J91" s="644" t="s">
        <v>621</v>
      </c>
      <c r="K91" s="644" t="s">
        <v>621</v>
      </c>
      <c r="L91" s="644" t="s">
        <v>621</v>
      </c>
      <c r="M91" s="644" t="s">
        <v>621</v>
      </c>
      <c r="N91" s="644" t="s">
        <v>621</v>
      </c>
      <c r="O91" s="644" t="s">
        <v>621</v>
      </c>
      <c r="P91" s="644" t="s">
        <v>621</v>
      </c>
      <c r="Q91" s="502"/>
      <c r="R91" s="49"/>
    </row>
    <row r="92" spans="2:18" hidden="1">
      <c r="B92" s="94" t="s">
        <v>533</v>
      </c>
      <c r="C92" s="52"/>
      <c r="D92" s="53"/>
      <c r="E92" s="49" t="s">
        <v>204</v>
      </c>
      <c r="F92" s="28" t="s">
        <v>329</v>
      </c>
      <c r="G92" s="54">
        <f t="shared" ref="G92:P92" si="42">_xlfn.XLOOKUP(G91,Grader_rip_names_CS,Grader_rip_rates_CS)</f>
        <v>359.20919999999995</v>
      </c>
      <c r="H92" s="54">
        <f t="shared" si="42"/>
        <v>280.88279999999992</v>
      </c>
      <c r="I92" s="54">
        <f t="shared" si="42"/>
        <v>280.88279999999992</v>
      </c>
      <c r="J92" s="54">
        <f t="shared" si="42"/>
        <v>280.88279999999992</v>
      </c>
      <c r="K92" s="54">
        <f t="shared" si="42"/>
        <v>280.88279999999992</v>
      </c>
      <c r="L92" s="54">
        <f t="shared" si="42"/>
        <v>280.88279999999992</v>
      </c>
      <c r="M92" s="54">
        <f t="shared" si="42"/>
        <v>280.88279999999992</v>
      </c>
      <c r="N92" s="54">
        <f t="shared" si="42"/>
        <v>280.88279999999992</v>
      </c>
      <c r="O92" s="54">
        <f t="shared" si="42"/>
        <v>280.88279999999992</v>
      </c>
      <c r="P92" s="54">
        <f t="shared" si="42"/>
        <v>280.88279999999992</v>
      </c>
      <c r="Q92" s="502"/>
      <c r="R92" s="49"/>
    </row>
    <row r="93" spans="2:18" hidden="1">
      <c r="B93" s="94" t="s">
        <v>533</v>
      </c>
      <c r="C93" s="52"/>
      <c r="D93" s="53"/>
      <c r="E93" s="49" t="s">
        <v>206</v>
      </c>
      <c r="F93" s="28" t="s">
        <v>329</v>
      </c>
      <c r="G93" s="414"/>
      <c r="H93" s="414"/>
      <c r="I93" s="414"/>
      <c r="J93" s="414"/>
      <c r="K93" s="414"/>
      <c r="L93" s="414"/>
      <c r="M93" s="414"/>
      <c r="N93" s="414"/>
      <c r="O93" s="414"/>
      <c r="P93" s="414"/>
      <c r="Q93" s="502"/>
      <c r="R93" s="49"/>
    </row>
    <row r="94" spans="2:18" hidden="1">
      <c r="B94" s="94" t="s">
        <v>533</v>
      </c>
      <c r="C94" s="56"/>
      <c r="D94" s="46"/>
      <c r="E94" s="49" t="s">
        <v>146</v>
      </c>
      <c r="F94" s="28" t="s">
        <v>207</v>
      </c>
      <c r="G94" s="79">
        <f t="shared" ref="G94:P94" si="43">G82*IF(G93="",G92,G93)</f>
        <v>0</v>
      </c>
      <c r="H94" s="79">
        <f t="shared" si="43"/>
        <v>0</v>
      </c>
      <c r="I94" s="79">
        <f t="shared" si="43"/>
        <v>0</v>
      </c>
      <c r="J94" s="79">
        <f t="shared" si="43"/>
        <v>0</v>
      </c>
      <c r="K94" s="79">
        <f t="shared" si="43"/>
        <v>0</v>
      </c>
      <c r="L94" s="79">
        <f t="shared" si="43"/>
        <v>0</v>
      </c>
      <c r="M94" s="79">
        <f t="shared" si="43"/>
        <v>0</v>
      </c>
      <c r="N94" s="79">
        <f t="shared" si="43"/>
        <v>0</v>
      </c>
      <c r="O94" s="79">
        <f t="shared" si="43"/>
        <v>0</v>
      </c>
      <c r="P94" s="79">
        <f t="shared" si="43"/>
        <v>0</v>
      </c>
      <c r="Q94" s="502"/>
      <c r="R94" s="49"/>
    </row>
    <row r="95" spans="2:18" hidden="1">
      <c r="B95" s="94" t="s">
        <v>533</v>
      </c>
      <c r="C95" s="50" t="s">
        <v>622</v>
      </c>
      <c r="D95" s="51" t="s">
        <v>636</v>
      </c>
      <c r="E95" s="49" t="s">
        <v>623</v>
      </c>
      <c r="F95" s="28" t="s">
        <v>299</v>
      </c>
      <c r="G95" s="70">
        <f>G82</f>
        <v>0</v>
      </c>
      <c r="H95" s="70">
        <f t="shared" ref="H95:P95" si="44">H82</f>
        <v>0</v>
      </c>
      <c r="I95" s="70">
        <f t="shared" si="44"/>
        <v>0</v>
      </c>
      <c r="J95" s="70">
        <f t="shared" si="44"/>
        <v>0</v>
      </c>
      <c r="K95" s="70">
        <f t="shared" si="44"/>
        <v>0</v>
      </c>
      <c r="L95" s="70">
        <f t="shared" si="44"/>
        <v>0</v>
      </c>
      <c r="M95" s="70">
        <f t="shared" si="44"/>
        <v>0</v>
      </c>
      <c r="N95" s="70">
        <f t="shared" si="44"/>
        <v>0</v>
      </c>
      <c r="O95" s="70">
        <f t="shared" si="44"/>
        <v>0</v>
      </c>
      <c r="P95" s="70">
        <f t="shared" si="44"/>
        <v>0</v>
      </c>
      <c r="Q95" s="502"/>
      <c r="R95" s="49"/>
    </row>
    <row r="96" spans="2:18" hidden="1">
      <c r="B96" s="94" t="s">
        <v>533</v>
      </c>
      <c r="C96" s="52"/>
      <c r="D96" s="53"/>
      <c r="E96" s="49" t="s">
        <v>624</v>
      </c>
      <c r="F96" s="28" t="s">
        <v>299</v>
      </c>
      <c r="G96" s="460">
        <v>0</v>
      </c>
      <c r="H96" s="460">
        <v>0</v>
      </c>
      <c r="I96" s="460">
        <v>0</v>
      </c>
      <c r="J96" s="460">
        <v>0</v>
      </c>
      <c r="K96" s="460">
        <v>0</v>
      </c>
      <c r="L96" s="460">
        <v>0</v>
      </c>
      <c r="M96" s="460">
        <v>0</v>
      </c>
      <c r="N96" s="460">
        <v>0</v>
      </c>
      <c r="O96" s="460">
        <v>0</v>
      </c>
      <c r="P96" s="460">
        <v>0</v>
      </c>
      <c r="Q96" s="502"/>
      <c r="R96" s="49"/>
    </row>
    <row r="97" spans="2:18" hidden="1">
      <c r="B97" s="94" t="s">
        <v>533</v>
      </c>
      <c r="C97" s="52"/>
      <c r="D97" s="53"/>
      <c r="E97" s="49" t="s">
        <v>625</v>
      </c>
      <c r="F97" s="28" t="s">
        <v>299</v>
      </c>
      <c r="G97" s="70">
        <f t="shared" ref="G97:P97" si="45">IF(G96="",G95,G96)</f>
        <v>0</v>
      </c>
      <c r="H97" s="70">
        <f t="shared" si="45"/>
        <v>0</v>
      </c>
      <c r="I97" s="70">
        <f t="shared" si="45"/>
        <v>0</v>
      </c>
      <c r="J97" s="70">
        <f t="shared" si="45"/>
        <v>0</v>
      </c>
      <c r="K97" s="70">
        <f t="shared" si="45"/>
        <v>0</v>
      </c>
      <c r="L97" s="70">
        <f t="shared" si="45"/>
        <v>0</v>
      </c>
      <c r="M97" s="70">
        <f t="shared" si="45"/>
        <v>0</v>
      </c>
      <c r="N97" s="70">
        <f t="shared" si="45"/>
        <v>0</v>
      </c>
      <c r="O97" s="70">
        <f t="shared" si="45"/>
        <v>0</v>
      </c>
      <c r="P97" s="70">
        <f t="shared" si="45"/>
        <v>0</v>
      </c>
      <c r="Q97" s="502"/>
      <c r="R97" s="49"/>
    </row>
    <row r="98" spans="2:18" hidden="1">
      <c r="B98" s="94" t="s">
        <v>533</v>
      </c>
      <c r="C98" s="52"/>
      <c r="D98" s="53"/>
      <c r="E98" s="49" t="s">
        <v>626</v>
      </c>
      <c r="F98" s="28" t="s">
        <v>123</v>
      </c>
      <c r="G98" s="645" t="s">
        <v>627</v>
      </c>
      <c r="H98" s="645" t="s">
        <v>627</v>
      </c>
      <c r="I98" s="645" t="s">
        <v>627</v>
      </c>
      <c r="J98" s="645" t="s">
        <v>627</v>
      </c>
      <c r="K98" s="645" t="s">
        <v>627</v>
      </c>
      <c r="L98" s="645" t="s">
        <v>627</v>
      </c>
      <c r="M98" s="645" t="s">
        <v>627</v>
      </c>
      <c r="N98" s="645" t="s">
        <v>627</v>
      </c>
      <c r="O98" s="645" t="s">
        <v>627</v>
      </c>
      <c r="P98" s="645" t="s">
        <v>627</v>
      </c>
      <c r="Q98" s="502"/>
      <c r="R98" s="49"/>
    </row>
    <row r="99" spans="2:18" hidden="1">
      <c r="B99" s="94" t="s">
        <v>533</v>
      </c>
      <c r="C99" s="52"/>
      <c r="D99" s="53"/>
      <c r="E99" s="49" t="s">
        <v>204</v>
      </c>
      <c r="F99" s="28" t="s">
        <v>329</v>
      </c>
      <c r="G99" s="54">
        <f t="shared" ref="G99:P99" si="46">_xlfn.XLOOKUP(G98,Dozer_rip_names_CS,Dozer_rip_rates_CS)</f>
        <v>707.60769231635197</v>
      </c>
      <c r="H99" s="54">
        <f t="shared" si="46"/>
        <v>707.60769231635197</v>
      </c>
      <c r="I99" s="54">
        <f t="shared" si="46"/>
        <v>707.60769231635197</v>
      </c>
      <c r="J99" s="54">
        <f t="shared" si="46"/>
        <v>707.60769231635197</v>
      </c>
      <c r="K99" s="54">
        <f t="shared" si="46"/>
        <v>707.60769231635197</v>
      </c>
      <c r="L99" s="54">
        <f t="shared" si="46"/>
        <v>707.60769231635197</v>
      </c>
      <c r="M99" s="54">
        <f t="shared" si="46"/>
        <v>707.60769231635197</v>
      </c>
      <c r="N99" s="54">
        <f t="shared" si="46"/>
        <v>707.60769231635197</v>
      </c>
      <c r="O99" s="54">
        <f t="shared" si="46"/>
        <v>707.60769231635197</v>
      </c>
      <c r="P99" s="54">
        <f t="shared" si="46"/>
        <v>707.60769231635197</v>
      </c>
      <c r="Q99" s="502"/>
      <c r="R99" s="49"/>
    </row>
    <row r="100" spans="2:18" hidden="1">
      <c r="B100" s="94" t="s">
        <v>533</v>
      </c>
      <c r="C100" s="52"/>
      <c r="D100" s="53"/>
      <c r="E100" s="49" t="s">
        <v>206</v>
      </c>
      <c r="F100" s="28" t="s">
        <v>329</v>
      </c>
      <c r="G100" s="414"/>
      <c r="H100" s="414"/>
      <c r="I100" s="414"/>
      <c r="J100" s="414"/>
      <c r="K100" s="414"/>
      <c r="L100" s="414"/>
      <c r="M100" s="414"/>
      <c r="N100" s="414"/>
      <c r="O100" s="414"/>
      <c r="P100" s="414"/>
      <c r="Q100" s="502"/>
      <c r="R100" s="49"/>
    </row>
    <row r="101" spans="2:18" hidden="1">
      <c r="B101" s="94" t="s">
        <v>533</v>
      </c>
      <c r="C101" s="56"/>
      <c r="D101" s="46"/>
      <c r="E101" s="49" t="s">
        <v>146</v>
      </c>
      <c r="F101" s="28" t="s">
        <v>207</v>
      </c>
      <c r="G101" s="79">
        <f t="shared" ref="G101:P101" si="47">IF(G100="",G99,G100)*G97</f>
        <v>0</v>
      </c>
      <c r="H101" s="79">
        <f t="shared" si="47"/>
        <v>0</v>
      </c>
      <c r="I101" s="79">
        <f t="shared" si="47"/>
        <v>0</v>
      </c>
      <c r="J101" s="79">
        <f t="shared" si="47"/>
        <v>0</v>
      </c>
      <c r="K101" s="79">
        <f t="shared" si="47"/>
        <v>0</v>
      </c>
      <c r="L101" s="79">
        <f t="shared" si="47"/>
        <v>0</v>
      </c>
      <c r="M101" s="79">
        <f t="shared" si="47"/>
        <v>0</v>
      </c>
      <c r="N101" s="79">
        <f t="shared" si="47"/>
        <v>0</v>
      </c>
      <c r="O101" s="79">
        <f t="shared" si="47"/>
        <v>0</v>
      </c>
      <c r="P101" s="79">
        <f t="shared" si="47"/>
        <v>0</v>
      </c>
      <c r="Q101" s="502"/>
      <c r="R101" s="49"/>
    </row>
    <row r="102" spans="2:18" hidden="1">
      <c r="B102" s="94" t="s">
        <v>533</v>
      </c>
      <c r="C102" s="50" t="s">
        <v>628</v>
      </c>
      <c r="D102" s="51" t="s">
        <v>636</v>
      </c>
      <c r="E102" s="49" t="s">
        <v>623</v>
      </c>
      <c r="F102" s="28" t="s">
        <v>299</v>
      </c>
      <c r="G102" s="70">
        <f t="shared" ref="G102:P102" si="48">G82</f>
        <v>0</v>
      </c>
      <c r="H102" s="70">
        <f t="shared" si="48"/>
        <v>0</v>
      </c>
      <c r="I102" s="70">
        <f t="shared" si="48"/>
        <v>0</v>
      </c>
      <c r="J102" s="70">
        <f t="shared" si="48"/>
        <v>0</v>
      </c>
      <c r="K102" s="70">
        <f t="shared" si="48"/>
        <v>0</v>
      </c>
      <c r="L102" s="70">
        <f t="shared" si="48"/>
        <v>0</v>
      </c>
      <c r="M102" s="70">
        <f t="shared" si="48"/>
        <v>0</v>
      </c>
      <c r="N102" s="70">
        <f t="shared" si="48"/>
        <v>0</v>
      </c>
      <c r="O102" s="70">
        <f t="shared" si="48"/>
        <v>0</v>
      </c>
      <c r="P102" s="70">
        <f t="shared" si="48"/>
        <v>0</v>
      </c>
      <c r="Q102" s="502"/>
      <c r="R102" s="49"/>
    </row>
    <row r="103" spans="2:18" hidden="1">
      <c r="B103" s="94" t="s">
        <v>533</v>
      </c>
      <c r="C103" s="52"/>
      <c r="D103" s="53"/>
      <c r="E103" s="49" t="s">
        <v>624</v>
      </c>
      <c r="F103" s="28" t="s">
        <v>299</v>
      </c>
      <c r="G103" s="460"/>
      <c r="H103" s="460"/>
      <c r="I103" s="460"/>
      <c r="J103" s="460"/>
      <c r="K103" s="460"/>
      <c r="L103" s="460"/>
      <c r="M103" s="460"/>
      <c r="N103" s="460"/>
      <c r="O103" s="460"/>
      <c r="P103" s="460"/>
      <c r="Q103" s="502"/>
      <c r="R103" s="49"/>
    </row>
    <row r="104" spans="2:18" hidden="1">
      <c r="B104" s="94" t="s">
        <v>533</v>
      </c>
      <c r="C104" s="52"/>
      <c r="D104" s="53"/>
      <c r="E104" s="49" t="s">
        <v>625</v>
      </c>
      <c r="F104" s="28" t="s">
        <v>299</v>
      </c>
      <c r="G104" s="70">
        <f t="shared" ref="G104:P104" si="49">IF(G103="",G102,G103)</f>
        <v>0</v>
      </c>
      <c r="H104" s="70">
        <f t="shared" si="49"/>
        <v>0</v>
      </c>
      <c r="I104" s="70">
        <f t="shared" si="49"/>
        <v>0</v>
      </c>
      <c r="J104" s="70">
        <f t="shared" si="49"/>
        <v>0</v>
      </c>
      <c r="K104" s="70">
        <f t="shared" si="49"/>
        <v>0</v>
      </c>
      <c r="L104" s="70">
        <f t="shared" si="49"/>
        <v>0</v>
      </c>
      <c r="M104" s="70">
        <f t="shared" si="49"/>
        <v>0</v>
      </c>
      <c r="N104" s="70">
        <f t="shared" si="49"/>
        <v>0</v>
      </c>
      <c r="O104" s="70">
        <f t="shared" si="49"/>
        <v>0</v>
      </c>
      <c r="P104" s="70">
        <f t="shared" si="49"/>
        <v>0</v>
      </c>
      <c r="Q104" s="502"/>
      <c r="R104" s="49"/>
    </row>
    <row r="105" spans="2:18" hidden="1">
      <c r="B105" s="94" t="s">
        <v>533</v>
      </c>
      <c r="C105" s="52"/>
      <c r="D105" s="53"/>
      <c r="E105" s="49" t="s">
        <v>626</v>
      </c>
      <c r="F105" s="28" t="s">
        <v>123</v>
      </c>
      <c r="G105" s="643" t="s">
        <v>637</v>
      </c>
      <c r="H105" s="643" t="s">
        <v>637</v>
      </c>
      <c r="I105" s="643" t="s">
        <v>637</v>
      </c>
      <c r="J105" s="643" t="s">
        <v>637</v>
      </c>
      <c r="K105" s="643" t="s">
        <v>637</v>
      </c>
      <c r="L105" s="643" t="s">
        <v>637</v>
      </c>
      <c r="M105" s="643" t="s">
        <v>637</v>
      </c>
      <c r="N105" s="643" t="s">
        <v>637</v>
      </c>
      <c r="O105" s="643" t="s">
        <v>637</v>
      </c>
      <c r="P105" s="643" t="s">
        <v>637</v>
      </c>
      <c r="Q105" s="502"/>
      <c r="R105" s="49"/>
    </row>
    <row r="106" spans="2:18" hidden="1">
      <c r="B106" s="94" t="s">
        <v>533</v>
      </c>
      <c r="C106" s="52"/>
      <c r="D106" s="53"/>
      <c r="E106" s="49" t="s">
        <v>204</v>
      </c>
      <c r="F106" s="28" t="s">
        <v>329</v>
      </c>
      <c r="G106" s="54">
        <f t="shared" ref="G106:P106" si="50">_xlfn.XLOOKUP(G105,Grader_trim_names_CS,Grader_trim_rates_CS)</f>
        <v>205.9967956054017</v>
      </c>
      <c r="H106" s="54">
        <f t="shared" si="50"/>
        <v>205.9967956054017</v>
      </c>
      <c r="I106" s="54">
        <f t="shared" si="50"/>
        <v>205.9967956054017</v>
      </c>
      <c r="J106" s="54">
        <f t="shared" si="50"/>
        <v>205.9967956054017</v>
      </c>
      <c r="K106" s="54">
        <f t="shared" si="50"/>
        <v>205.9967956054017</v>
      </c>
      <c r="L106" s="54">
        <f t="shared" si="50"/>
        <v>205.9967956054017</v>
      </c>
      <c r="M106" s="54">
        <f t="shared" si="50"/>
        <v>205.9967956054017</v>
      </c>
      <c r="N106" s="54">
        <f t="shared" si="50"/>
        <v>205.9967956054017</v>
      </c>
      <c r="O106" s="54">
        <f t="shared" si="50"/>
        <v>205.9967956054017</v>
      </c>
      <c r="P106" s="54">
        <f t="shared" si="50"/>
        <v>205.9967956054017</v>
      </c>
      <c r="Q106" s="502"/>
      <c r="R106" s="49"/>
    </row>
    <row r="107" spans="2:18" hidden="1">
      <c r="B107" s="94" t="s">
        <v>533</v>
      </c>
      <c r="C107" s="52"/>
      <c r="D107" s="53"/>
      <c r="E107" s="49" t="s">
        <v>206</v>
      </c>
      <c r="F107" s="28" t="s">
        <v>329</v>
      </c>
      <c r="G107" s="414"/>
      <c r="H107" s="414"/>
      <c r="I107" s="414"/>
      <c r="J107" s="414"/>
      <c r="K107" s="414"/>
      <c r="L107" s="414"/>
      <c r="M107" s="414"/>
      <c r="N107" s="414"/>
      <c r="O107" s="414"/>
      <c r="P107" s="414"/>
      <c r="Q107" s="502"/>
      <c r="R107" s="49"/>
    </row>
    <row r="108" spans="2:18" hidden="1">
      <c r="B108" s="94" t="s">
        <v>533</v>
      </c>
      <c r="C108" s="56"/>
      <c r="D108" s="46"/>
      <c r="E108" s="49" t="s">
        <v>146</v>
      </c>
      <c r="F108" s="28" t="s">
        <v>207</v>
      </c>
      <c r="G108" s="79">
        <f t="shared" ref="G108:P108" si="51">IF(G107="",G106,G107)*G104</f>
        <v>0</v>
      </c>
      <c r="H108" s="79">
        <f t="shared" si="51"/>
        <v>0</v>
      </c>
      <c r="I108" s="79">
        <f t="shared" si="51"/>
        <v>0</v>
      </c>
      <c r="J108" s="79">
        <f t="shared" si="51"/>
        <v>0</v>
      </c>
      <c r="K108" s="79">
        <f t="shared" si="51"/>
        <v>0</v>
      </c>
      <c r="L108" s="79">
        <f t="shared" si="51"/>
        <v>0</v>
      </c>
      <c r="M108" s="79">
        <f t="shared" si="51"/>
        <v>0</v>
      </c>
      <c r="N108" s="79">
        <f t="shared" si="51"/>
        <v>0</v>
      </c>
      <c r="O108" s="79">
        <f t="shared" si="51"/>
        <v>0</v>
      </c>
      <c r="P108" s="79">
        <f t="shared" si="51"/>
        <v>0</v>
      </c>
      <c r="Q108" s="502"/>
      <c r="R108" s="49"/>
    </row>
    <row r="109" spans="2:18" hidden="1">
      <c r="B109" s="94" t="s">
        <v>533</v>
      </c>
      <c r="C109" s="167" t="s">
        <v>1144</v>
      </c>
      <c r="D109" s="164"/>
      <c r="E109" s="106"/>
      <c r="F109" s="107" t="s">
        <v>207</v>
      </c>
      <c r="G109" s="108">
        <f>G90+G94+G101+G108</f>
        <v>0</v>
      </c>
      <c r="H109" s="108">
        <f t="shared" ref="H109:P109" si="52">H90+H94+H101+H108</f>
        <v>0</v>
      </c>
      <c r="I109" s="108">
        <f t="shared" si="52"/>
        <v>0</v>
      </c>
      <c r="J109" s="108">
        <f t="shared" si="52"/>
        <v>0</v>
      </c>
      <c r="K109" s="108">
        <f t="shared" si="52"/>
        <v>0</v>
      </c>
      <c r="L109" s="108">
        <f t="shared" si="52"/>
        <v>0</v>
      </c>
      <c r="M109" s="108">
        <f t="shared" si="52"/>
        <v>0</v>
      </c>
      <c r="N109" s="108">
        <f t="shared" si="52"/>
        <v>0</v>
      </c>
      <c r="O109" s="108">
        <f t="shared" si="52"/>
        <v>0</v>
      </c>
      <c r="P109" s="108">
        <f t="shared" si="52"/>
        <v>0</v>
      </c>
      <c r="Q109" s="502"/>
      <c r="R109" s="49"/>
    </row>
    <row r="110" spans="2:18" hidden="1">
      <c r="B110" s="94" t="s">
        <v>533</v>
      </c>
      <c r="C110" s="165"/>
      <c r="D110" s="166"/>
      <c r="E110" s="106"/>
      <c r="F110" s="107" t="s">
        <v>329</v>
      </c>
      <c r="G110" s="108">
        <f>IF(G82=0,0,G109/G82)</f>
        <v>0</v>
      </c>
      <c r="H110" s="108">
        <f t="shared" ref="H110:P110" si="53">IF(H82=0,0,H109/H82)</f>
        <v>0</v>
      </c>
      <c r="I110" s="108">
        <f t="shared" si="53"/>
        <v>0</v>
      </c>
      <c r="J110" s="108">
        <f t="shared" si="53"/>
        <v>0</v>
      </c>
      <c r="K110" s="108">
        <f t="shared" si="53"/>
        <v>0</v>
      </c>
      <c r="L110" s="108">
        <f t="shared" si="53"/>
        <v>0</v>
      </c>
      <c r="M110" s="108">
        <f t="shared" si="53"/>
        <v>0</v>
      </c>
      <c r="N110" s="108">
        <f t="shared" si="53"/>
        <v>0</v>
      </c>
      <c r="O110" s="108">
        <f t="shared" si="53"/>
        <v>0</v>
      </c>
      <c r="P110" s="108">
        <f t="shared" si="53"/>
        <v>0</v>
      </c>
      <c r="Q110" s="502"/>
      <c r="R110" s="49"/>
    </row>
    <row r="111" spans="2:18" hidden="1">
      <c r="B111" s="94" t="s">
        <v>533</v>
      </c>
      <c r="C111" s="158"/>
      <c r="D111" s="66"/>
      <c r="E111" s="67" t="str">
        <f>C82</f>
        <v>Tracks and Park-up - User Build</v>
      </c>
      <c r="F111" s="62" t="s">
        <v>413</v>
      </c>
      <c r="G111" s="80">
        <f>G109</f>
        <v>0</v>
      </c>
      <c r="H111" s="80">
        <f t="shared" ref="H111:P111" si="54">H109</f>
        <v>0</v>
      </c>
      <c r="I111" s="80">
        <f t="shared" si="54"/>
        <v>0</v>
      </c>
      <c r="J111" s="80">
        <f t="shared" si="54"/>
        <v>0</v>
      </c>
      <c r="K111" s="80">
        <f t="shared" si="54"/>
        <v>0</v>
      </c>
      <c r="L111" s="80">
        <f t="shared" si="54"/>
        <v>0</v>
      </c>
      <c r="M111" s="80">
        <f t="shared" si="54"/>
        <v>0</v>
      </c>
      <c r="N111" s="80">
        <f t="shared" si="54"/>
        <v>0</v>
      </c>
      <c r="O111" s="80">
        <f t="shared" si="54"/>
        <v>0</v>
      </c>
      <c r="P111" s="80">
        <f t="shared" si="54"/>
        <v>0</v>
      </c>
      <c r="Q111" s="502"/>
      <c r="R111" s="49"/>
    </row>
    <row r="112" spans="2:18" hidden="1">
      <c r="B112" s="94" t="s">
        <v>533</v>
      </c>
      <c r="C112" s="172" t="s">
        <v>1145</v>
      </c>
      <c r="D112" s="48" t="s">
        <v>604</v>
      </c>
      <c r="E112" s="27" t="s">
        <v>605</v>
      </c>
      <c r="F112" s="28" t="s">
        <v>299</v>
      </c>
      <c r="G112" s="411"/>
      <c r="H112" s="411"/>
      <c r="I112" s="411"/>
      <c r="J112" s="411"/>
      <c r="K112" s="411"/>
      <c r="L112" s="411"/>
      <c r="M112" s="411"/>
      <c r="N112" s="411"/>
      <c r="O112" s="411"/>
      <c r="P112" s="411"/>
      <c r="Q112" s="502"/>
      <c r="R112" s="49"/>
    </row>
    <row r="113" spans="2:18" hidden="1">
      <c r="B113" s="94" t="s">
        <v>533</v>
      </c>
      <c r="C113" s="50" t="s">
        <v>606</v>
      </c>
      <c r="D113" s="51" t="s">
        <v>639</v>
      </c>
      <c r="E113" s="27" t="s">
        <v>608</v>
      </c>
      <c r="F113" s="28" t="s">
        <v>123</v>
      </c>
      <c r="G113" s="642" t="s">
        <v>610</v>
      </c>
      <c r="H113" s="642" t="s">
        <v>611</v>
      </c>
      <c r="I113" s="642" t="s">
        <v>609</v>
      </c>
      <c r="J113" s="642" t="s">
        <v>633</v>
      </c>
      <c r="K113" s="642" t="s">
        <v>633</v>
      </c>
      <c r="L113" s="642" t="s">
        <v>633</v>
      </c>
      <c r="M113" s="642" t="s">
        <v>633</v>
      </c>
      <c r="N113" s="642" t="s">
        <v>633</v>
      </c>
      <c r="O113" s="642" t="s">
        <v>633</v>
      </c>
      <c r="P113" s="642" t="s">
        <v>633</v>
      </c>
      <c r="Q113" s="502"/>
      <c r="R113" s="49"/>
    </row>
    <row r="114" spans="2:18" hidden="1">
      <c r="B114" s="94" t="s">
        <v>533</v>
      </c>
      <c r="C114" s="52"/>
      <c r="D114" s="53"/>
      <c r="E114" s="48" t="s">
        <v>214</v>
      </c>
      <c r="F114" s="28" t="s">
        <v>215</v>
      </c>
      <c r="G114" s="58">
        <f t="shared" ref="G114:P114" si="55">G112*Conv_sqm_ha</f>
        <v>0</v>
      </c>
      <c r="H114" s="58">
        <f t="shared" si="55"/>
        <v>0</v>
      </c>
      <c r="I114" s="58">
        <f t="shared" si="55"/>
        <v>0</v>
      </c>
      <c r="J114" s="58">
        <f t="shared" si="55"/>
        <v>0</v>
      </c>
      <c r="K114" s="58">
        <f t="shared" si="55"/>
        <v>0</v>
      </c>
      <c r="L114" s="58">
        <f t="shared" si="55"/>
        <v>0</v>
      </c>
      <c r="M114" s="58">
        <f t="shared" si="55"/>
        <v>0</v>
      </c>
      <c r="N114" s="58">
        <f t="shared" si="55"/>
        <v>0</v>
      </c>
      <c r="O114" s="58">
        <f t="shared" si="55"/>
        <v>0</v>
      </c>
      <c r="P114" s="58">
        <f t="shared" si="55"/>
        <v>0</v>
      </c>
      <c r="Q114" s="502"/>
      <c r="R114" s="49"/>
    </row>
    <row r="115" spans="2:18" hidden="1">
      <c r="B115" s="94" t="s">
        <v>533</v>
      </c>
      <c r="C115" s="52"/>
      <c r="D115" s="53"/>
      <c r="E115" s="48" t="s">
        <v>612</v>
      </c>
      <c r="F115" s="28" t="s">
        <v>613</v>
      </c>
      <c r="G115" s="105">
        <f t="shared" ref="G115:P115" si="56">IF(G113=Earthen,0,Track_rock_gravel_bitumen_cover_thickness)</f>
        <v>0</v>
      </c>
      <c r="H115" s="105">
        <f t="shared" si="56"/>
        <v>150</v>
      </c>
      <c r="I115" s="105">
        <f t="shared" si="56"/>
        <v>150</v>
      </c>
      <c r="J115" s="105">
        <f t="shared" si="56"/>
        <v>150</v>
      </c>
      <c r="K115" s="105">
        <f t="shared" si="56"/>
        <v>150</v>
      </c>
      <c r="L115" s="105">
        <f t="shared" si="56"/>
        <v>150</v>
      </c>
      <c r="M115" s="105">
        <f t="shared" si="56"/>
        <v>150</v>
      </c>
      <c r="N115" s="105">
        <f t="shared" si="56"/>
        <v>150</v>
      </c>
      <c r="O115" s="105">
        <f t="shared" si="56"/>
        <v>150</v>
      </c>
      <c r="P115" s="105">
        <f t="shared" si="56"/>
        <v>150</v>
      </c>
      <c r="Q115" s="502"/>
      <c r="R115" s="49"/>
    </row>
    <row r="116" spans="2:18" hidden="1">
      <c r="B116" s="94" t="s">
        <v>533</v>
      </c>
      <c r="C116" s="52"/>
      <c r="D116" s="53"/>
      <c r="E116" s="48" t="s">
        <v>307</v>
      </c>
      <c r="F116" s="28" t="s">
        <v>219</v>
      </c>
      <c r="G116" s="58">
        <f t="shared" ref="G116:P116" si="57">G114*G115/Conv_mm_in_metres</f>
        <v>0</v>
      </c>
      <c r="H116" s="58">
        <f t="shared" si="57"/>
        <v>0</v>
      </c>
      <c r="I116" s="58">
        <f t="shared" si="57"/>
        <v>0</v>
      </c>
      <c r="J116" s="58">
        <f t="shared" si="57"/>
        <v>0</v>
      </c>
      <c r="K116" s="58">
        <f t="shared" si="57"/>
        <v>0</v>
      </c>
      <c r="L116" s="58">
        <f t="shared" si="57"/>
        <v>0</v>
      </c>
      <c r="M116" s="58">
        <f t="shared" si="57"/>
        <v>0</v>
      </c>
      <c r="N116" s="58">
        <f t="shared" si="57"/>
        <v>0</v>
      </c>
      <c r="O116" s="58">
        <f t="shared" si="57"/>
        <v>0</v>
      </c>
      <c r="P116" s="58">
        <f t="shared" si="57"/>
        <v>0</v>
      </c>
      <c r="Q116" s="502"/>
      <c r="R116" s="49"/>
    </row>
    <row r="117" spans="2:18" ht="33.75" hidden="1">
      <c r="B117" s="94" t="s">
        <v>533</v>
      </c>
      <c r="C117" s="56"/>
      <c r="D117" s="46"/>
      <c r="E117" s="48" t="s">
        <v>634</v>
      </c>
      <c r="F117" s="28" t="s">
        <v>123</v>
      </c>
      <c r="G117" s="643" t="s">
        <v>1063</v>
      </c>
      <c r="H117" s="643" t="s">
        <v>615</v>
      </c>
      <c r="I117" s="643" t="s">
        <v>615</v>
      </c>
      <c r="J117" s="643" t="s">
        <v>615</v>
      </c>
      <c r="K117" s="643" t="s">
        <v>615</v>
      </c>
      <c r="L117" s="643" t="s">
        <v>615</v>
      </c>
      <c r="M117" s="643" t="s">
        <v>615</v>
      </c>
      <c r="N117" s="643" t="s">
        <v>615</v>
      </c>
      <c r="O117" s="643" t="s">
        <v>615</v>
      </c>
      <c r="P117" s="643" t="s">
        <v>615</v>
      </c>
      <c r="Q117" s="502"/>
      <c r="R117" s="49"/>
    </row>
    <row r="118" spans="2:18" hidden="1">
      <c r="B118" s="94" t="s">
        <v>533</v>
      </c>
      <c r="C118" s="50" t="s">
        <v>616</v>
      </c>
      <c r="D118" s="51" t="s">
        <v>641</v>
      </c>
      <c r="E118" s="49" t="s">
        <v>204</v>
      </c>
      <c r="F118" s="28" t="s">
        <v>241</v>
      </c>
      <c r="G118" s="54">
        <f t="shared" ref="G118:P118" si="58">_xlfn.XLOOKUP(G117,Load_haul_fill_names_CS,Load_haul_fill_rates_CS)</f>
        <v>5.7855619567513541</v>
      </c>
      <c r="H118" s="54">
        <f t="shared" si="58"/>
        <v>6.1704247018493934</v>
      </c>
      <c r="I118" s="54">
        <f t="shared" si="58"/>
        <v>6.1704247018493934</v>
      </c>
      <c r="J118" s="54">
        <f t="shared" si="58"/>
        <v>6.1704247018493934</v>
      </c>
      <c r="K118" s="54">
        <f t="shared" si="58"/>
        <v>6.1704247018493934</v>
      </c>
      <c r="L118" s="54">
        <f t="shared" si="58"/>
        <v>6.1704247018493934</v>
      </c>
      <c r="M118" s="54">
        <f t="shared" si="58"/>
        <v>6.1704247018493934</v>
      </c>
      <c r="N118" s="54">
        <f t="shared" si="58"/>
        <v>6.1704247018493934</v>
      </c>
      <c r="O118" s="54">
        <f t="shared" si="58"/>
        <v>6.1704247018493934</v>
      </c>
      <c r="P118" s="54">
        <f t="shared" si="58"/>
        <v>6.1704247018493934</v>
      </c>
      <c r="Q118" s="502"/>
      <c r="R118" s="49"/>
    </row>
    <row r="119" spans="2:18" hidden="1">
      <c r="B119" s="94" t="s">
        <v>533</v>
      </c>
      <c r="C119" s="56"/>
      <c r="D119" s="46"/>
      <c r="E119" s="49" t="s">
        <v>206</v>
      </c>
      <c r="F119" s="28" t="s">
        <v>241</v>
      </c>
      <c r="G119" s="414"/>
      <c r="H119" s="414"/>
      <c r="I119" s="414"/>
      <c r="J119" s="414"/>
      <c r="K119" s="414"/>
      <c r="L119" s="414"/>
      <c r="M119" s="414"/>
      <c r="N119" s="414"/>
      <c r="O119" s="414"/>
      <c r="P119" s="414"/>
      <c r="Q119" s="502"/>
      <c r="R119" s="49"/>
    </row>
    <row r="120" spans="2:18" hidden="1">
      <c r="B120" s="94" t="s">
        <v>533</v>
      </c>
      <c r="C120" s="149" t="s">
        <v>643</v>
      </c>
      <c r="D120" s="48" t="s">
        <v>641</v>
      </c>
      <c r="E120" s="49" t="s">
        <v>146</v>
      </c>
      <c r="F120" s="28" t="s">
        <v>207</v>
      </c>
      <c r="G120" s="132">
        <f t="shared" ref="G120:H120" si="59">IF(G119="",G118,G119)*G116</f>
        <v>0</v>
      </c>
      <c r="H120" s="132">
        <f t="shared" si="59"/>
        <v>0</v>
      </c>
      <c r="I120" s="132">
        <f>IF(I119="",I118,I119)*I116</f>
        <v>0</v>
      </c>
      <c r="J120" s="132">
        <f t="shared" ref="J120:P120" si="60">IF(J119="",J118,J119)*J116</f>
        <v>0</v>
      </c>
      <c r="K120" s="132">
        <f t="shared" si="60"/>
        <v>0</v>
      </c>
      <c r="L120" s="132">
        <f t="shared" si="60"/>
        <v>0</v>
      </c>
      <c r="M120" s="132">
        <f t="shared" si="60"/>
        <v>0</v>
      </c>
      <c r="N120" s="132">
        <f t="shared" si="60"/>
        <v>0</v>
      </c>
      <c r="O120" s="132">
        <f t="shared" si="60"/>
        <v>0</v>
      </c>
      <c r="P120" s="132">
        <f t="shared" si="60"/>
        <v>0</v>
      </c>
      <c r="Q120" s="502"/>
      <c r="R120" s="49"/>
    </row>
    <row r="121" spans="2:18" hidden="1">
      <c r="B121" s="94" t="s">
        <v>533</v>
      </c>
      <c r="C121" s="50" t="s">
        <v>618</v>
      </c>
      <c r="D121" s="51" t="s">
        <v>641</v>
      </c>
      <c r="E121" s="48" t="s">
        <v>634</v>
      </c>
      <c r="F121" s="28" t="s">
        <v>123</v>
      </c>
      <c r="G121" s="644" t="s">
        <v>637</v>
      </c>
      <c r="H121" s="644" t="s">
        <v>621</v>
      </c>
      <c r="I121" s="644" t="s">
        <v>620</v>
      </c>
      <c r="J121" s="644" t="s">
        <v>621</v>
      </c>
      <c r="K121" s="644" t="s">
        <v>621</v>
      </c>
      <c r="L121" s="644" t="s">
        <v>621</v>
      </c>
      <c r="M121" s="644" t="s">
        <v>621</v>
      </c>
      <c r="N121" s="644" t="s">
        <v>621</v>
      </c>
      <c r="O121" s="644" t="s">
        <v>621</v>
      </c>
      <c r="P121" s="644" t="s">
        <v>621</v>
      </c>
      <c r="Q121" s="502"/>
      <c r="R121" s="49"/>
    </row>
    <row r="122" spans="2:18" hidden="1">
      <c r="B122" s="94" t="s">
        <v>533</v>
      </c>
      <c r="C122" s="52"/>
      <c r="D122" s="53"/>
      <c r="E122" s="49" t="s">
        <v>204</v>
      </c>
      <c r="F122" s="28" t="s">
        <v>329</v>
      </c>
      <c r="G122" s="54">
        <f t="shared" ref="G122:P122" si="61">_xlfn.XLOOKUP(G121,Grader_rip_names_CS,Grader_rip_rates_CS)</f>
        <v>213.09749999999997</v>
      </c>
      <c r="H122" s="54">
        <f t="shared" si="61"/>
        <v>280.88279999999992</v>
      </c>
      <c r="I122" s="54">
        <f t="shared" si="61"/>
        <v>359.20919999999995</v>
      </c>
      <c r="J122" s="54">
        <f t="shared" si="61"/>
        <v>280.88279999999992</v>
      </c>
      <c r="K122" s="54">
        <f t="shared" si="61"/>
        <v>280.88279999999992</v>
      </c>
      <c r="L122" s="54">
        <f t="shared" si="61"/>
        <v>280.88279999999992</v>
      </c>
      <c r="M122" s="54">
        <f t="shared" si="61"/>
        <v>280.88279999999992</v>
      </c>
      <c r="N122" s="54">
        <f t="shared" si="61"/>
        <v>280.88279999999992</v>
      </c>
      <c r="O122" s="54">
        <f t="shared" si="61"/>
        <v>280.88279999999992</v>
      </c>
      <c r="P122" s="54">
        <f t="shared" si="61"/>
        <v>280.88279999999992</v>
      </c>
      <c r="Q122" s="502"/>
      <c r="R122" s="49"/>
    </row>
    <row r="123" spans="2:18" hidden="1">
      <c r="B123" s="94" t="s">
        <v>533</v>
      </c>
      <c r="C123" s="52"/>
      <c r="D123" s="53"/>
      <c r="E123" s="49" t="s">
        <v>206</v>
      </c>
      <c r="F123" s="28" t="s">
        <v>329</v>
      </c>
      <c r="G123" s="414"/>
      <c r="H123" s="414"/>
      <c r="I123" s="414"/>
      <c r="J123" s="414"/>
      <c r="K123" s="414"/>
      <c r="L123" s="414"/>
      <c r="M123" s="414"/>
      <c r="N123" s="414"/>
      <c r="O123" s="414"/>
      <c r="P123" s="414"/>
      <c r="Q123" s="502"/>
      <c r="R123" s="49"/>
    </row>
    <row r="124" spans="2:18" hidden="1">
      <c r="B124" s="94" t="s">
        <v>533</v>
      </c>
      <c r="C124" s="56"/>
      <c r="D124" s="46"/>
      <c r="E124" s="49" t="s">
        <v>146</v>
      </c>
      <c r="F124" s="28" t="s">
        <v>207</v>
      </c>
      <c r="G124" s="79">
        <f t="shared" ref="G124:P124" si="62">G112*IF(G123="",G122,G123)</f>
        <v>0</v>
      </c>
      <c r="H124" s="79">
        <f t="shared" si="62"/>
        <v>0</v>
      </c>
      <c r="I124" s="79">
        <f t="shared" si="62"/>
        <v>0</v>
      </c>
      <c r="J124" s="79">
        <f t="shared" si="62"/>
        <v>0</v>
      </c>
      <c r="K124" s="79">
        <f t="shared" si="62"/>
        <v>0</v>
      </c>
      <c r="L124" s="79">
        <f t="shared" si="62"/>
        <v>0</v>
      </c>
      <c r="M124" s="79">
        <f t="shared" si="62"/>
        <v>0</v>
      </c>
      <c r="N124" s="79">
        <f t="shared" si="62"/>
        <v>0</v>
      </c>
      <c r="O124" s="79">
        <f t="shared" si="62"/>
        <v>0</v>
      </c>
      <c r="P124" s="79">
        <f t="shared" si="62"/>
        <v>0</v>
      </c>
      <c r="Q124" s="502"/>
      <c r="R124" s="49"/>
    </row>
    <row r="125" spans="2:18" hidden="1">
      <c r="B125" s="94" t="s">
        <v>533</v>
      </c>
      <c r="C125" s="50" t="s">
        <v>622</v>
      </c>
      <c r="D125" s="51" t="s">
        <v>641</v>
      </c>
      <c r="E125" s="49" t="s">
        <v>623</v>
      </c>
      <c r="F125" s="28" t="s">
        <v>299</v>
      </c>
      <c r="G125" s="70">
        <f>G112</f>
        <v>0</v>
      </c>
      <c r="H125" s="70">
        <f t="shared" ref="H125:P125" si="63">H112</f>
        <v>0</v>
      </c>
      <c r="I125" s="70">
        <f t="shared" si="63"/>
        <v>0</v>
      </c>
      <c r="J125" s="70">
        <f t="shared" si="63"/>
        <v>0</v>
      </c>
      <c r="K125" s="70">
        <f t="shared" si="63"/>
        <v>0</v>
      </c>
      <c r="L125" s="70">
        <f t="shared" si="63"/>
        <v>0</v>
      </c>
      <c r="M125" s="70">
        <f t="shared" si="63"/>
        <v>0</v>
      </c>
      <c r="N125" s="70">
        <f t="shared" si="63"/>
        <v>0</v>
      </c>
      <c r="O125" s="70">
        <f>O112</f>
        <v>0</v>
      </c>
      <c r="P125" s="70">
        <f t="shared" si="63"/>
        <v>0</v>
      </c>
      <c r="Q125" s="502"/>
      <c r="R125" s="49"/>
    </row>
    <row r="126" spans="2:18" hidden="1">
      <c r="B126" s="94" t="s">
        <v>533</v>
      </c>
      <c r="C126" s="52"/>
      <c r="D126" s="53"/>
      <c r="E126" s="49" t="s">
        <v>624</v>
      </c>
      <c r="F126" s="28" t="s">
        <v>299</v>
      </c>
      <c r="G126" s="411"/>
      <c r="H126" s="411"/>
      <c r="I126" s="411"/>
      <c r="J126" s="411"/>
      <c r="K126" s="411"/>
      <c r="L126" s="411"/>
      <c r="M126" s="411"/>
      <c r="N126" s="411"/>
      <c r="O126" s="411"/>
      <c r="P126" s="411"/>
      <c r="Q126" s="502"/>
      <c r="R126" s="49"/>
    </row>
    <row r="127" spans="2:18" hidden="1">
      <c r="B127" s="94" t="s">
        <v>533</v>
      </c>
      <c r="C127" s="52"/>
      <c r="D127" s="53"/>
      <c r="E127" s="49" t="s">
        <v>625</v>
      </c>
      <c r="F127" s="28" t="s">
        <v>299</v>
      </c>
      <c r="G127" s="70">
        <f t="shared" ref="G127:P127" si="64">IF(G126="",G125,G126)</f>
        <v>0</v>
      </c>
      <c r="H127" s="70">
        <f t="shared" si="64"/>
        <v>0</v>
      </c>
      <c r="I127" s="70">
        <f t="shared" si="64"/>
        <v>0</v>
      </c>
      <c r="J127" s="70">
        <f t="shared" si="64"/>
        <v>0</v>
      </c>
      <c r="K127" s="70">
        <f t="shared" si="64"/>
        <v>0</v>
      </c>
      <c r="L127" s="70">
        <f t="shared" si="64"/>
        <v>0</v>
      </c>
      <c r="M127" s="70">
        <f t="shared" si="64"/>
        <v>0</v>
      </c>
      <c r="N127" s="70">
        <f t="shared" si="64"/>
        <v>0</v>
      </c>
      <c r="O127" s="70">
        <f t="shared" si="64"/>
        <v>0</v>
      </c>
      <c r="P127" s="70">
        <f t="shared" si="64"/>
        <v>0</v>
      </c>
      <c r="Q127" s="502"/>
      <c r="R127" s="49"/>
    </row>
    <row r="128" spans="2:18" hidden="1">
      <c r="B128" s="94" t="s">
        <v>533</v>
      </c>
      <c r="C128" s="52"/>
      <c r="D128" s="53"/>
      <c r="E128" s="49" t="s">
        <v>626</v>
      </c>
      <c r="F128" s="28" t="s">
        <v>123</v>
      </c>
      <c r="G128" s="645" t="s">
        <v>627</v>
      </c>
      <c r="H128" s="645" t="s">
        <v>627</v>
      </c>
      <c r="I128" s="645" t="s">
        <v>627</v>
      </c>
      <c r="J128" s="645" t="s">
        <v>627</v>
      </c>
      <c r="K128" s="645" t="s">
        <v>627</v>
      </c>
      <c r="L128" s="645" t="s">
        <v>627</v>
      </c>
      <c r="M128" s="645" t="s">
        <v>627</v>
      </c>
      <c r="N128" s="645" t="s">
        <v>627</v>
      </c>
      <c r="O128" s="645" t="s">
        <v>627</v>
      </c>
      <c r="P128" s="645" t="s">
        <v>627</v>
      </c>
      <c r="Q128" s="502"/>
      <c r="R128" s="49"/>
    </row>
    <row r="129" spans="2:18" hidden="1">
      <c r="B129" s="94" t="s">
        <v>533</v>
      </c>
      <c r="C129" s="52"/>
      <c r="D129" s="53"/>
      <c r="E129" s="49" t="s">
        <v>204</v>
      </c>
      <c r="F129" s="28" t="s">
        <v>329</v>
      </c>
      <c r="G129" s="54">
        <f t="shared" ref="G129:P129" si="65">_xlfn.XLOOKUP(G128,Dozer_rip_names_CS,Dozer_rip_rates_CS)</f>
        <v>707.60769231635197</v>
      </c>
      <c r="H129" s="54">
        <f t="shared" si="65"/>
        <v>707.60769231635197</v>
      </c>
      <c r="I129" s="54">
        <f t="shared" si="65"/>
        <v>707.60769231635197</v>
      </c>
      <c r="J129" s="54">
        <f t="shared" si="65"/>
        <v>707.60769231635197</v>
      </c>
      <c r="K129" s="54">
        <f t="shared" si="65"/>
        <v>707.60769231635197</v>
      </c>
      <c r="L129" s="54">
        <f t="shared" si="65"/>
        <v>707.60769231635197</v>
      </c>
      <c r="M129" s="54">
        <f t="shared" si="65"/>
        <v>707.60769231635197</v>
      </c>
      <c r="N129" s="54">
        <f t="shared" si="65"/>
        <v>707.60769231635197</v>
      </c>
      <c r="O129" s="54">
        <f t="shared" si="65"/>
        <v>707.60769231635197</v>
      </c>
      <c r="P129" s="54">
        <f t="shared" si="65"/>
        <v>707.60769231635197</v>
      </c>
      <c r="Q129" s="502"/>
      <c r="R129" s="49"/>
    </row>
    <row r="130" spans="2:18" hidden="1">
      <c r="B130" s="94" t="s">
        <v>533</v>
      </c>
      <c r="C130" s="52"/>
      <c r="D130" s="53"/>
      <c r="E130" s="49" t="s">
        <v>206</v>
      </c>
      <c r="F130" s="28" t="s">
        <v>329</v>
      </c>
      <c r="G130" s="414"/>
      <c r="H130" s="414"/>
      <c r="I130" s="414"/>
      <c r="J130" s="414"/>
      <c r="K130" s="414"/>
      <c r="L130" s="414"/>
      <c r="M130" s="414"/>
      <c r="N130" s="414"/>
      <c r="O130" s="414"/>
      <c r="P130" s="414"/>
      <c r="Q130" s="502"/>
      <c r="R130" s="49"/>
    </row>
    <row r="131" spans="2:18" hidden="1">
      <c r="B131" s="94" t="s">
        <v>533</v>
      </c>
      <c r="C131" s="56"/>
      <c r="D131" s="46"/>
      <c r="E131" s="49" t="s">
        <v>146</v>
      </c>
      <c r="F131" s="28" t="s">
        <v>207</v>
      </c>
      <c r="G131" s="79">
        <f t="shared" ref="G131:P131" si="66">IF(G130="",G129,G130)*G127</f>
        <v>0</v>
      </c>
      <c r="H131" s="79">
        <f t="shared" si="66"/>
        <v>0</v>
      </c>
      <c r="I131" s="79">
        <f t="shared" si="66"/>
        <v>0</v>
      </c>
      <c r="J131" s="79">
        <f t="shared" si="66"/>
        <v>0</v>
      </c>
      <c r="K131" s="79">
        <f t="shared" si="66"/>
        <v>0</v>
      </c>
      <c r="L131" s="79">
        <f t="shared" si="66"/>
        <v>0</v>
      </c>
      <c r="M131" s="79">
        <f t="shared" si="66"/>
        <v>0</v>
      </c>
      <c r="N131" s="79">
        <f t="shared" si="66"/>
        <v>0</v>
      </c>
      <c r="O131" s="79">
        <f t="shared" si="66"/>
        <v>0</v>
      </c>
      <c r="P131" s="79">
        <f t="shared" si="66"/>
        <v>0</v>
      </c>
      <c r="Q131" s="502"/>
      <c r="R131" s="49"/>
    </row>
    <row r="132" spans="2:18" hidden="1">
      <c r="B132" s="94" t="s">
        <v>533</v>
      </c>
      <c r="C132" s="50" t="s">
        <v>628</v>
      </c>
      <c r="D132" s="51" t="s">
        <v>641</v>
      </c>
      <c r="E132" s="49" t="s">
        <v>623</v>
      </c>
      <c r="F132" s="28" t="s">
        <v>299</v>
      </c>
      <c r="G132" s="70">
        <f t="shared" ref="G132:P132" si="67">G112</f>
        <v>0</v>
      </c>
      <c r="H132" s="70">
        <f t="shared" si="67"/>
        <v>0</v>
      </c>
      <c r="I132" s="70">
        <f t="shared" si="67"/>
        <v>0</v>
      </c>
      <c r="J132" s="70">
        <f t="shared" si="67"/>
        <v>0</v>
      </c>
      <c r="K132" s="70">
        <f t="shared" si="67"/>
        <v>0</v>
      </c>
      <c r="L132" s="70">
        <f t="shared" si="67"/>
        <v>0</v>
      </c>
      <c r="M132" s="70">
        <f t="shared" si="67"/>
        <v>0</v>
      </c>
      <c r="N132" s="70">
        <f t="shared" si="67"/>
        <v>0</v>
      </c>
      <c r="O132" s="70">
        <f t="shared" si="67"/>
        <v>0</v>
      </c>
      <c r="P132" s="70">
        <f t="shared" si="67"/>
        <v>0</v>
      </c>
      <c r="Q132" s="502"/>
      <c r="R132" s="49"/>
    </row>
    <row r="133" spans="2:18" hidden="1">
      <c r="B133" s="94" t="s">
        <v>533</v>
      </c>
      <c r="C133" s="52"/>
      <c r="D133" s="53"/>
      <c r="E133" s="49" t="s">
        <v>624</v>
      </c>
      <c r="F133" s="28" t="s">
        <v>299</v>
      </c>
      <c r="G133" s="411"/>
      <c r="H133" s="411"/>
      <c r="I133" s="411"/>
      <c r="J133" s="411"/>
      <c r="K133" s="411"/>
      <c r="L133" s="411"/>
      <c r="M133" s="411"/>
      <c r="N133" s="411"/>
      <c r="O133" s="411"/>
      <c r="P133" s="411"/>
      <c r="Q133" s="502"/>
      <c r="R133" s="49"/>
    </row>
    <row r="134" spans="2:18" hidden="1">
      <c r="B134" s="94" t="s">
        <v>533</v>
      </c>
      <c r="C134" s="52"/>
      <c r="D134" s="53"/>
      <c r="E134" s="49" t="s">
        <v>625</v>
      </c>
      <c r="F134" s="28" t="s">
        <v>299</v>
      </c>
      <c r="G134" s="70">
        <f t="shared" ref="G134:P134" si="68">IF(G133="",G132,G133)</f>
        <v>0</v>
      </c>
      <c r="H134" s="70">
        <f t="shared" si="68"/>
        <v>0</v>
      </c>
      <c r="I134" s="70">
        <f t="shared" si="68"/>
        <v>0</v>
      </c>
      <c r="J134" s="70">
        <f t="shared" si="68"/>
        <v>0</v>
      </c>
      <c r="K134" s="70">
        <f t="shared" si="68"/>
        <v>0</v>
      </c>
      <c r="L134" s="70">
        <f t="shared" si="68"/>
        <v>0</v>
      </c>
      <c r="M134" s="70">
        <f t="shared" si="68"/>
        <v>0</v>
      </c>
      <c r="N134" s="70">
        <f t="shared" si="68"/>
        <v>0</v>
      </c>
      <c r="O134" s="70">
        <f t="shared" si="68"/>
        <v>0</v>
      </c>
      <c r="P134" s="70">
        <f t="shared" si="68"/>
        <v>0</v>
      </c>
      <c r="Q134" s="502"/>
      <c r="R134" s="49"/>
    </row>
    <row r="135" spans="2:18" hidden="1">
      <c r="B135" s="94" t="s">
        <v>533</v>
      </c>
      <c r="C135" s="52"/>
      <c r="D135" s="53"/>
      <c r="E135" s="49" t="s">
        <v>626</v>
      </c>
      <c r="F135" s="28" t="s">
        <v>123</v>
      </c>
      <c r="G135" s="643" t="s">
        <v>637</v>
      </c>
      <c r="H135" s="643" t="s">
        <v>637</v>
      </c>
      <c r="I135" s="643" t="s">
        <v>637</v>
      </c>
      <c r="J135" s="643" t="s">
        <v>637</v>
      </c>
      <c r="K135" s="643" t="s">
        <v>637</v>
      </c>
      <c r="L135" s="643" t="s">
        <v>637</v>
      </c>
      <c r="M135" s="643" t="s">
        <v>637</v>
      </c>
      <c r="N135" s="643" t="s">
        <v>637</v>
      </c>
      <c r="O135" s="643" t="s">
        <v>637</v>
      </c>
      <c r="P135" s="643" t="s">
        <v>637</v>
      </c>
      <c r="Q135" s="502"/>
      <c r="R135" s="49"/>
    </row>
    <row r="136" spans="2:18" hidden="1">
      <c r="B136" s="94" t="s">
        <v>533</v>
      </c>
      <c r="C136" s="52"/>
      <c r="D136" s="53"/>
      <c r="E136" s="49" t="s">
        <v>204</v>
      </c>
      <c r="F136" s="28" t="s">
        <v>329</v>
      </c>
      <c r="G136" s="54">
        <f t="shared" ref="G136:P136" si="69">_xlfn.XLOOKUP(G135,Grader_trim_names_CS,Grader_trim_rates_CS)</f>
        <v>205.9967956054017</v>
      </c>
      <c r="H136" s="54">
        <f t="shared" si="69"/>
        <v>205.9967956054017</v>
      </c>
      <c r="I136" s="54">
        <f t="shared" si="69"/>
        <v>205.9967956054017</v>
      </c>
      <c r="J136" s="54">
        <f t="shared" si="69"/>
        <v>205.9967956054017</v>
      </c>
      <c r="K136" s="54">
        <f t="shared" si="69"/>
        <v>205.9967956054017</v>
      </c>
      <c r="L136" s="54">
        <f t="shared" si="69"/>
        <v>205.9967956054017</v>
      </c>
      <c r="M136" s="54">
        <f t="shared" si="69"/>
        <v>205.9967956054017</v>
      </c>
      <c r="N136" s="54">
        <f t="shared" si="69"/>
        <v>205.9967956054017</v>
      </c>
      <c r="O136" s="54">
        <f t="shared" si="69"/>
        <v>205.9967956054017</v>
      </c>
      <c r="P136" s="54">
        <f t="shared" si="69"/>
        <v>205.9967956054017</v>
      </c>
      <c r="Q136" s="502"/>
      <c r="R136" s="49"/>
    </row>
    <row r="137" spans="2:18" hidden="1">
      <c r="B137" s="94" t="s">
        <v>533</v>
      </c>
      <c r="C137" s="52"/>
      <c r="D137" s="53"/>
      <c r="E137" s="49" t="s">
        <v>206</v>
      </c>
      <c r="F137" s="28" t="s">
        <v>329</v>
      </c>
      <c r="G137" s="414"/>
      <c r="H137" s="414"/>
      <c r="I137" s="414"/>
      <c r="J137" s="414"/>
      <c r="K137" s="414"/>
      <c r="L137" s="414"/>
      <c r="M137" s="414"/>
      <c r="N137" s="414"/>
      <c r="O137" s="414"/>
      <c r="P137" s="414"/>
      <c r="Q137" s="502"/>
      <c r="R137" s="49"/>
    </row>
    <row r="138" spans="2:18" hidden="1">
      <c r="B138" s="94" t="s">
        <v>533</v>
      </c>
      <c r="C138" s="56"/>
      <c r="D138" s="46"/>
      <c r="E138" s="49" t="s">
        <v>146</v>
      </c>
      <c r="F138" s="28" t="s">
        <v>207</v>
      </c>
      <c r="G138" s="79">
        <f t="shared" ref="G138:P138" si="70">IF(G137="",G136,G137)*G134</f>
        <v>0</v>
      </c>
      <c r="H138" s="79">
        <f t="shared" si="70"/>
        <v>0</v>
      </c>
      <c r="I138" s="79">
        <f t="shared" si="70"/>
        <v>0</v>
      </c>
      <c r="J138" s="79">
        <f t="shared" si="70"/>
        <v>0</v>
      </c>
      <c r="K138" s="79">
        <f t="shared" si="70"/>
        <v>0</v>
      </c>
      <c r="L138" s="79">
        <f t="shared" si="70"/>
        <v>0</v>
      </c>
      <c r="M138" s="79">
        <f t="shared" si="70"/>
        <v>0</v>
      </c>
      <c r="N138" s="79">
        <f t="shared" si="70"/>
        <v>0</v>
      </c>
      <c r="O138" s="79">
        <f t="shared" si="70"/>
        <v>0</v>
      </c>
      <c r="P138" s="79">
        <f t="shared" si="70"/>
        <v>0</v>
      </c>
      <c r="Q138" s="502"/>
      <c r="R138" s="49"/>
    </row>
    <row r="139" spans="2:18" hidden="1">
      <c r="B139" s="94" t="s">
        <v>533</v>
      </c>
      <c r="C139" s="167" t="s">
        <v>1146</v>
      </c>
      <c r="D139" s="168"/>
      <c r="E139" s="106"/>
      <c r="F139" s="107" t="s">
        <v>207</v>
      </c>
      <c r="G139" s="108">
        <f>G120+G124+G131+G138</f>
        <v>0</v>
      </c>
      <c r="H139" s="108">
        <f t="shared" ref="H139:P139" si="71">H120+H124+H131+H138</f>
        <v>0</v>
      </c>
      <c r="I139" s="108">
        <f t="shared" si="71"/>
        <v>0</v>
      </c>
      <c r="J139" s="108">
        <f t="shared" si="71"/>
        <v>0</v>
      </c>
      <c r="K139" s="108">
        <f t="shared" si="71"/>
        <v>0</v>
      </c>
      <c r="L139" s="108">
        <f t="shared" si="71"/>
        <v>0</v>
      </c>
      <c r="M139" s="108">
        <f t="shared" si="71"/>
        <v>0</v>
      </c>
      <c r="N139" s="108">
        <f t="shared" si="71"/>
        <v>0</v>
      </c>
      <c r="O139" s="108">
        <f t="shared" si="71"/>
        <v>0</v>
      </c>
      <c r="P139" s="108">
        <f t="shared" si="71"/>
        <v>0</v>
      </c>
      <c r="Q139" s="502"/>
      <c r="R139" s="49"/>
    </row>
    <row r="140" spans="2:18" hidden="1">
      <c r="B140" s="94" t="s">
        <v>533</v>
      </c>
      <c r="C140" s="169"/>
      <c r="D140" s="170"/>
      <c r="E140" s="106"/>
      <c r="F140" s="107" t="s">
        <v>329</v>
      </c>
      <c r="G140" s="108">
        <f t="shared" ref="G140:P140" si="72">IF(G112=0,0,G139/G112)</f>
        <v>0</v>
      </c>
      <c r="H140" s="108">
        <f t="shared" si="72"/>
        <v>0</v>
      </c>
      <c r="I140" s="108">
        <f t="shared" si="72"/>
        <v>0</v>
      </c>
      <c r="J140" s="108">
        <f t="shared" si="72"/>
        <v>0</v>
      </c>
      <c r="K140" s="108">
        <f t="shared" si="72"/>
        <v>0</v>
      </c>
      <c r="L140" s="108">
        <f t="shared" si="72"/>
        <v>0</v>
      </c>
      <c r="M140" s="108">
        <f t="shared" si="72"/>
        <v>0</v>
      </c>
      <c r="N140" s="108">
        <f t="shared" si="72"/>
        <v>0</v>
      </c>
      <c r="O140" s="108">
        <f t="shared" si="72"/>
        <v>0</v>
      </c>
      <c r="P140" s="108">
        <f t="shared" si="72"/>
        <v>0</v>
      </c>
      <c r="Q140" s="502"/>
      <c r="R140" s="49"/>
    </row>
    <row r="141" spans="2:18" hidden="1">
      <c r="B141" s="94" t="s">
        <v>533</v>
      </c>
      <c r="C141" s="158"/>
      <c r="D141" s="66"/>
      <c r="E141" s="67" t="str">
        <f>C112</f>
        <v>Laydown Areas (user-build)</v>
      </c>
      <c r="F141" s="62" t="s">
        <v>413</v>
      </c>
      <c r="G141" s="80">
        <f t="shared" ref="G141:H141" si="73">G139</f>
        <v>0</v>
      </c>
      <c r="H141" s="80">
        <f t="shared" si="73"/>
        <v>0</v>
      </c>
      <c r="I141" s="80">
        <f>I139</f>
        <v>0</v>
      </c>
      <c r="J141" s="80">
        <f t="shared" ref="J141:P141" si="74">J139</f>
        <v>0</v>
      </c>
      <c r="K141" s="80">
        <f t="shared" si="74"/>
        <v>0</v>
      </c>
      <c r="L141" s="80">
        <f t="shared" si="74"/>
        <v>0</v>
      </c>
      <c r="M141" s="80">
        <f t="shared" si="74"/>
        <v>0</v>
      </c>
      <c r="N141" s="80">
        <f t="shared" si="74"/>
        <v>0</v>
      </c>
      <c r="O141" s="80">
        <f t="shared" si="74"/>
        <v>0</v>
      </c>
      <c r="P141" s="80">
        <f t="shared" si="74"/>
        <v>0</v>
      </c>
      <c r="Q141" s="502"/>
      <c r="R141" s="49"/>
    </row>
    <row r="142" spans="2:18" hidden="1">
      <c r="B142" s="94" t="s">
        <v>533</v>
      </c>
      <c r="C142" s="159" t="s">
        <v>1147</v>
      </c>
      <c r="D142" s="68" t="s">
        <v>1148</v>
      </c>
      <c r="E142" s="49" t="s">
        <v>623</v>
      </c>
      <c r="F142" s="28" t="s">
        <v>299</v>
      </c>
      <c r="G142" s="70">
        <f t="shared" ref="G142:P142" si="75">G82</f>
        <v>0</v>
      </c>
      <c r="H142" s="70">
        <f t="shared" si="75"/>
        <v>0</v>
      </c>
      <c r="I142" s="70">
        <f t="shared" si="75"/>
        <v>0</v>
      </c>
      <c r="J142" s="70">
        <f t="shared" si="75"/>
        <v>0</v>
      </c>
      <c r="K142" s="70">
        <f t="shared" si="75"/>
        <v>0</v>
      </c>
      <c r="L142" s="70">
        <f t="shared" si="75"/>
        <v>0</v>
      </c>
      <c r="M142" s="70">
        <f t="shared" si="75"/>
        <v>0</v>
      </c>
      <c r="N142" s="70">
        <f t="shared" si="75"/>
        <v>0</v>
      </c>
      <c r="O142" s="70">
        <f t="shared" si="75"/>
        <v>0</v>
      </c>
      <c r="P142" s="70">
        <f t="shared" si="75"/>
        <v>0</v>
      </c>
      <c r="Q142" s="502"/>
      <c r="R142" s="49"/>
    </row>
    <row r="143" spans="2:18" hidden="1">
      <c r="B143" s="94" t="s">
        <v>533</v>
      </c>
      <c r="C143" s="52"/>
      <c r="D143" s="65"/>
      <c r="E143" s="49" t="s">
        <v>624</v>
      </c>
      <c r="F143" s="28" t="s">
        <v>299</v>
      </c>
      <c r="G143" s="460"/>
      <c r="H143" s="460"/>
      <c r="I143" s="460"/>
      <c r="J143" s="460"/>
      <c r="K143" s="460"/>
      <c r="L143" s="460"/>
      <c r="M143" s="460"/>
      <c r="N143" s="460"/>
      <c r="O143" s="460"/>
      <c r="P143" s="460"/>
      <c r="Q143" s="502"/>
      <c r="R143" s="49"/>
    </row>
    <row r="144" spans="2:18" hidden="1">
      <c r="B144" s="94" t="s">
        <v>533</v>
      </c>
      <c r="C144" s="52"/>
      <c r="D144" s="69"/>
      <c r="E144" s="49" t="s">
        <v>625</v>
      </c>
      <c r="F144" s="28" t="s">
        <v>299</v>
      </c>
      <c r="G144" s="70">
        <f t="shared" ref="G144:P144" si="76">IF(G143="",G142,G143)</f>
        <v>0</v>
      </c>
      <c r="H144" s="70">
        <f t="shared" si="76"/>
        <v>0</v>
      </c>
      <c r="I144" s="70">
        <f t="shared" si="76"/>
        <v>0</v>
      </c>
      <c r="J144" s="70">
        <f t="shared" si="76"/>
        <v>0</v>
      </c>
      <c r="K144" s="70">
        <f t="shared" si="76"/>
        <v>0</v>
      </c>
      <c r="L144" s="70">
        <f t="shared" si="76"/>
        <v>0</v>
      </c>
      <c r="M144" s="70">
        <f t="shared" si="76"/>
        <v>0</v>
      </c>
      <c r="N144" s="70">
        <f t="shared" si="76"/>
        <v>0</v>
      </c>
      <c r="O144" s="70">
        <f t="shared" si="76"/>
        <v>0</v>
      </c>
      <c r="P144" s="70">
        <f t="shared" si="76"/>
        <v>0</v>
      </c>
      <c r="Q144" s="502"/>
      <c r="R144" s="49"/>
    </row>
    <row r="145" spans="2:18" hidden="1">
      <c r="B145" s="94" t="s">
        <v>533</v>
      </c>
      <c r="C145" s="52"/>
      <c r="D145" s="68" t="s">
        <v>1149</v>
      </c>
      <c r="E145" s="49" t="s">
        <v>623</v>
      </c>
      <c r="F145" s="28" t="s">
        <v>299</v>
      </c>
      <c r="G145" s="70">
        <f t="shared" ref="G145:P145" si="77">G112</f>
        <v>0</v>
      </c>
      <c r="H145" s="70">
        <f t="shared" si="77"/>
        <v>0</v>
      </c>
      <c r="I145" s="70">
        <f t="shared" si="77"/>
        <v>0</v>
      </c>
      <c r="J145" s="70">
        <f t="shared" si="77"/>
        <v>0</v>
      </c>
      <c r="K145" s="70">
        <f t="shared" si="77"/>
        <v>0</v>
      </c>
      <c r="L145" s="70">
        <f t="shared" si="77"/>
        <v>0</v>
      </c>
      <c r="M145" s="70">
        <f t="shared" si="77"/>
        <v>0</v>
      </c>
      <c r="N145" s="70">
        <f t="shared" si="77"/>
        <v>0</v>
      </c>
      <c r="O145" s="70">
        <f t="shared" si="77"/>
        <v>0</v>
      </c>
      <c r="P145" s="70">
        <f t="shared" si="77"/>
        <v>0</v>
      </c>
      <c r="Q145" s="502"/>
      <c r="R145" s="49"/>
    </row>
    <row r="146" spans="2:18" hidden="1">
      <c r="B146" s="94" t="s">
        <v>533</v>
      </c>
      <c r="C146" s="52"/>
      <c r="D146" s="65"/>
      <c r="E146" s="49" t="s">
        <v>624</v>
      </c>
      <c r="F146" s="28" t="s">
        <v>299</v>
      </c>
      <c r="G146" s="460"/>
      <c r="H146" s="460"/>
      <c r="I146" s="460"/>
      <c r="J146" s="460"/>
      <c r="K146" s="460"/>
      <c r="L146" s="460"/>
      <c r="M146" s="460"/>
      <c r="N146" s="460"/>
      <c r="O146" s="460"/>
      <c r="P146" s="460"/>
      <c r="Q146" s="502"/>
      <c r="R146" s="49"/>
    </row>
    <row r="147" spans="2:18" hidden="1">
      <c r="B147" s="94" t="s">
        <v>533</v>
      </c>
      <c r="C147" s="52"/>
      <c r="D147" s="69"/>
      <c r="E147" s="49" t="s">
        <v>625</v>
      </c>
      <c r="F147" s="28" t="s">
        <v>299</v>
      </c>
      <c r="G147" s="70">
        <f t="shared" ref="G147:P147" si="78">IF(G146="",G145,G146)</f>
        <v>0</v>
      </c>
      <c r="H147" s="70">
        <f t="shared" si="78"/>
        <v>0</v>
      </c>
      <c r="I147" s="70">
        <f t="shared" si="78"/>
        <v>0</v>
      </c>
      <c r="J147" s="70">
        <f t="shared" si="78"/>
        <v>0</v>
      </c>
      <c r="K147" s="70">
        <f t="shared" si="78"/>
        <v>0</v>
      </c>
      <c r="L147" s="70">
        <f t="shared" si="78"/>
        <v>0</v>
      </c>
      <c r="M147" s="70">
        <f t="shared" si="78"/>
        <v>0</v>
      </c>
      <c r="N147" s="70">
        <f t="shared" si="78"/>
        <v>0</v>
      </c>
      <c r="O147" s="70">
        <f t="shared" si="78"/>
        <v>0</v>
      </c>
      <c r="P147" s="70">
        <f t="shared" si="78"/>
        <v>0</v>
      </c>
      <c r="Q147" s="502"/>
      <c r="R147" s="49"/>
    </row>
    <row r="148" spans="2:18" hidden="1">
      <c r="B148" s="94" t="s">
        <v>533</v>
      </c>
      <c r="C148" s="52"/>
      <c r="D148" s="68" t="s">
        <v>1150</v>
      </c>
      <c r="E148" s="49" t="s">
        <v>649</v>
      </c>
      <c r="F148" s="28" t="s">
        <v>299</v>
      </c>
      <c r="G148" s="110">
        <f>G144+G147</f>
        <v>0</v>
      </c>
      <c r="H148" s="110">
        <f t="shared" ref="H148:P148" si="79">H144+H147</f>
        <v>0</v>
      </c>
      <c r="I148" s="110">
        <f t="shared" si="79"/>
        <v>0</v>
      </c>
      <c r="J148" s="110">
        <f t="shared" si="79"/>
        <v>0</v>
      </c>
      <c r="K148" s="110">
        <f t="shared" si="79"/>
        <v>0</v>
      </c>
      <c r="L148" s="110">
        <f t="shared" si="79"/>
        <v>0</v>
      </c>
      <c r="M148" s="110">
        <f t="shared" si="79"/>
        <v>0</v>
      </c>
      <c r="N148" s="110">
        <f t="shared" si="79"/>
        <v>0</v>
      </c>
      <c r="O148" s="110">
        <f t="shared" si="79"/>
        <v>0</v>
      </c>
      <c r="P148" s="110">
        <f t="shared" si="79"/>
        <v>0</v>
      </c>
      <c r="Q148" s="502"/>
      <c r="R148" s="49"/>
    </row>
    <row r="149" spans="2:18" hidden="1">
      <c r="B149" s="94" t="s">
        <v>533</v>
      </c>
      <c r="C149" s="75" t="s">
        <v>1151</v>
      </c>
      <c r="D149" s="68"/>
      <c r="E149" s="49" t="s">
        <v>245</v>
      </c>
      <c r="F149" s="28" t="s">
        <v>211</v>
      </c>
      <c r="G149" s="70">
        <f t="shared" ref="G149:P149" si="80">Haul_roads_track_rail_growth_media_thickness/Conv_mm_in_metres</f>
        <v>0.15</v>
      </c>
      <c r="H149" s="70">
        <f t="shared" si="80"/>
        <v>0.15</v>
      </c>
      <c r="I149" s="70">
        <f t="shared" si="80"/>
        <v>0.15</v>
      </c>
      <c r="J149" s="70">
        <f t="shared" si="80"/>
        <v>0.15</v>
      </c>
      <c r="K149" s="70">
        <f t="shared" si="80"/>
        <v>0.15</v>
      </c>
      <c r="L149" s="70">
        <f t="shared" si="80"/>
        <v>0.15</v>
      </c>
      <c r="M149" s="70">
        <f t="shared" si="80"/>
        <v>0.15</v>
      </c>
      <c r="N149" s="70">
        <f t="shared" si="80"/>
        <v>0.15</v>
      </c>
      <c r="O149" s="70">
        <f t="shared" si="80"/>
        <v>0.15</v>
      </c>
      <c r="P149" s="70">
        <f t="shared" si="80"/>
        <v>0.15</v>
      </c>
      <c r="Q149" s="502"/>
      <c r="R149" s="49"/>
    </row>
    <row r="150" spans="2:18" hidden="1">
      <c r="B150" s="94" t="s">
        <v>533</v>
      </c>
      <c r="C150" s="52"/>
      <c r="D150" s="65"/>
      <c r="E150" s="49" t="s">
        <v>307</v>
      </c>
      <c r="F150" s="28" t="s">
        <v>219</v>
      </c>
      <c r="G150" s="58">
        <f t="shared" ref="G150:P150" si="81">G148*Conv_sqm_ha*G149</f>
        <v>0</v>
      </c>
      <c r="H150" s="58">
        <f t="shared" si="81"/>
        <v>0</v>
      </c>
      <c r="I150" s="58">
        <f t="shared" si="81"/>
        <v>0</v>
      </c>
      <c r="J150" s="58">
        <f t="shared" si="81"/>
        <v>0</v>
      </c>
      <c r="K150" s="58">
        <f t="shared" si="81"/>
        <v>0</v>
      </c>
      <c r="L150" s="58">
        <f t="shared" si="81"/>
        <v>0</v>
      </c>
      <c r="M150" s="58">
        <f t="shared" si="81"/>
        <v>0</v>
      </c>
      <c r="N150" s="58">
        <f t="shared" si="81"/>
        <v>0</v>
      </c>
      <c r="O150" s="58">
        <f t="shared" si="81"/>
        <v>0</v>
      </c>
      <c r="P150" s="58">
        <f t="shared" si="81"/>
        <v>0</v>
      </c>
      <c r="Q150" s="502"/>
      <c r="R150" s="49"/>
    </row>
    <row r="151" spans="2:18" ht="33.75" hidden="1">
      <c r="B151" s="94" t="s">
        <v>533</v>
      </c>
      <c r="C151" s="52"/>
      <c r="D151" s="65"/>
      <c r="E151" s="49" t="s">
        <v>634</v>
      </c>
      <c r="F151" s="28" t="s">
        <v>123</v>
      </c>
      <c r="G151" s="643" t="s">
        <v>555</v>
      </c>
      <c r="H151" s="643" t="s">
        <v>555</v>
      </c>
      <c r="I151" s="643" t="s">
        <v>555</v>
      </c>
      <c r="J151" s="643" t="s">
        <v>555</v>
      </c>
      <c r="K151" s="643" t="s">
        <v>555</v>
      </c>
      <c r="L151" s="643" t="s">
        <v>555</v>
      </c>
      <c r="M151" s="643" t="s">
        <v>555</v>
      </c>
      <c r="N151" s="643" t="s">
        <v>555</v>
      </c>
      <c r="O151" s="643" t="s">
        <v>555</v>
      </c>
      <c r="P151" s="643" t="s">
        <v>555</v>
      </c>
      <c r="Q151" s="502"/>
      <c r="R151" s="49"/>
    </row>
    <row r="152" spans="2:18" hidden="1">
      <c r="B152" s="94" t="s">
        <v>533</v>
      </c>
      <c r="C152" s="52"/>
      <c r="D152" s="65"/>
      <c r="E152" s="49" t="s">
        <v>204</v>
      </c>
      <c r="F152" s="28" t="s">
        <v>241</v>
      </c>
      <c r="G152" s="54">
        <f t="shared" ref="G152:P152" si="82">_xlfn.XLOOKUP(G151,Load_haul_soil_names_CS,Load_haul_soil_rates_CS)</f>
        <v>5.5737090155748836</v>
      </c>
      <c r="H152" s="54">
        <f t="shared" si="82"/>
        <v>5.5737090155748836</v>
      </c>
      <c r="I152" s="54">
        <f t="shared" si="82"/>
        <v>5.5737090155748836</v>
      </c>
      <c r="J152" s="54">
        <f t="shared" si="82"/>
        <v>5.5737090155748836</v>
      </c>
      <c r="K152" s="54">
        <f t="shared" si="82"/>
        <v>5.5737090155748836</v>
      </c>
      <c r="L152" s="54">
        <f t="shared" si="82"/>
        <v>5.5737090155748836</v>
      </c>
      <c r="M152" s="54">
        <f t="shared" si="82"/>
        <v>5.5737090155748836</v>
      </c>
      <c r="N152" s="54">
        <f t="shared" si="82"/>
        <v>5.5737090155748836</v>
      </c>
      <c r="O152" s="54">
        <f t="shared" si="82"/>
        <v>5.5737090155748836</v>
      </c>
      <c r="P152" s="54">
        <f t="shared" si="82"/>
        <v>5.5737090155748836</v>
      </c>
      <c r="Q152" s="502"/>
      <c r="R152" s="49"/>
    </row>
    <row r="153" spans="2:18" hidden="1">
      <c r="B153" s="94" t="s">
        <v>533</v>
      </c>
      <c r="C153" s="52"/>
      <c r="D153" s="65"/>
      <c r="E153" s="49" t="s">
        <v>206</v>
      </c>
      <c r="F153" s="28" t="s">
        <v>241</v>
      </c>
      <c r="G153" s="414"/>
      <c r="H153" s="414"/>
      <c r="I153" s="414"/>
      <c r="J153" s="414"/>
      <c r="K153" s="414"/>
      <c r="L153" s="414"/>
      <c r="M153" s="414"/>
      <c r="N153" s="414"/>
      <c r="O153" s="414"/>
      <c r="P153" s="414"/>
      <c r="Q153" s="502"/>
      <c r="R153" s="49"/>
    </row>
    <row r="154" spans="2:18" hidden="1">
      <c r="B154" s="94" t="s">
        <v>533</v>
      </c>
      <c r="C154" s="56"/>
      <c r="D154" s="69"/>
      <c r="E154" s="49" t="s">
        <v>146</v>
      </c>
      <c r="F154" s="28" t="s">
        <v>207</v>
      </c>
      <c r="G154" s="132">
        <f t="shared" ref="G154:P154" si="83">G150*IF(G153="",G152,G153)</f>
        <v>0</v>
      </c>
      <c r="H154" s="132">
        <f t="shared" si="83"/>
        <v>0</v>
      </c>
      <c r="I154" s="132">
        <f t="shared" si="83"/>
        <v>0</v>
      </c>
      <c r="J154" s="132">
        <f t="shared" si="83"/>
        <v>0</v>
      </c>
      <c r="K154" s="132">
        <f t="shared" si="83"/>
        <v>0</v>
      </c>
      <c r="L154" s="132">
        <f t="shared" si="83"/>
        <v>0</v>
      </c>
      <c r="M154" s="132">
        <f t="shared" si="83"/>
        <v>0</v>
      </c>
      <c r="N154" s="132">
        <f t="shared" si="83"/>
        <v>0</v>
      </c>
      <c r="O154" s="132">
        <f t="shared" si="83"/>
        <v>0</v>
      </c>
      <c r="P154" s="132">
        <f t="shared" si="83"/>
        <v>0</v>
      </c>
      <c r="Q154" s="502"/>
      <c r="R154" s="49"/>
    </row>
    <row r="155" spans="2:18" hidden="1">
      <c r="B155" s="94" t="s">
        <v>533</v>
      </c>
      <c r="C155" s="158"/>
      <c r="D155" s="66"/>
      <c r="E155" s="67" t="str">
        <f>C142</f>
        <v>Source and Apply Growth media</v>
      </c>
      <c r="F155" s="72"/>
      <c r="G155" s="133">
        <f>G154</f>
        <v>0</v>
      </c>
      <c r="H155" s="133">
        <f t="shared" ref="H155:P155" si="84">H154</f>
        <v>0</v>
      </c>
      <c r="I155" s="133">
        <f t="shared" si="84"/>
        <v>0</v>
      </c>
      <c r="J155" s="133">
        <f t="shared" si="84"/>
        <v>0</v>
      </c>
      <c r="K155" s="133">
        <f t="shared" si="84"/>
        <v>0</v>
      </c>
      <c r="L155" s="133">
        <f t="shared" si="84"/>
        <v>0</v>
      </c>
      <c r="M155" s="133">
        <f t="shared" si="84"/>
        <v>0</v>
      </c>
      <c r="N155" s="133">
        <f t="shared" si="84"/>
        <v>0</v>
      </c>
      <c r="O155" s="133">
        <f t="shared" si="84"/>
        <v>0</v>
      </c>
      <c r="P155" s="133">
        <f t="shared" si="84"/>
        <v>0</v>
      </c>
      <c r="Q155" s="502"/>
      <c r="R155" s="49"/>
    </row>
    <row r="156" spans="2:18" hidden="1">
      <c r="B156" s="94" t="s">
        <v>533</v>
      </c>
      <c r="C156" s="159" t="s">
        <v>1152</v>
      </c>
      <c r="D156" s="68" t="s">
        <v>1153</v>
      </c>
      <c r="E156" s="49" t="s">
        <v>623</v>
      </c>
      <c r="F156" s="28" t="s">
        <v>299</v>
      </c>
      <c r="G156" s="70">
        <f t="shared" ref="G156:P156" si="85">G$82</f>
        <v>0</v>
      </c>
      <c r="H156" s="70">
        <f t="shared" si="85"/>
        <v>0</v>
      </c>
      <c r="I156" s="70">
        <f t="shared" si="85"/>
        <v>0</v>
      </c>
      <c r="J156" s="70">
        <f t="shared" si="85"/>
        <v>0</v>
      </c>
      <c r="K156" s="70">
        <f t="shared" si="85"/>
        <v>0</v>
      </c>
      <c r="L156" s="70">
        <f t="shared" si="85"/>
        <v>0</v>
      </c>
      <c r="M156" s="70">
        <f t="shared" si="85"/>
        <v>0</v>
      </c>
      <c r="N156" s="70">
        <f t="shared" si="85"/>
        <v>0</v>
      </c>
      <c r="O156" s="70">
        <f t="shared" si="85"/>
        <v>0</v>
      </c>
      <c r="P156" s="70">
        <f t="shared" si="85"/>
        <v>0</v>
      </c>
      <c r="Q156" s="502"/>
      <c r="R156" s="49"/>
    </row>
    <row r="157" spans="2:18" hidden="1">
      <c r="B157" s="94" t="s">
        <v>533</v>
      </c>
      <c r="C157" s="52"/>
      <c r="D157" s="65"/>
      <c r="E157" s="49" t="s">
        <v>624</v>
      </c>
      <c r="F157" s="28" t="s">
        <v>299</v>
      </c>
      <c r="G157" s="460"/>
      <c r="H157" s="460"/>
      <c r="I157" s="460"/>
      <c r="J157" s="460"/>
      <c r="K157" s="460"/>
      <c r="L157" s="460"/>
      <c r="M157" s="460"/>
      <c r="N157" s="460"/>
      <c r="O157" s="460"/>
      <c r="P157" s="460"/>
      <c r="Q157" s="502"/>
      <c r="R157" s="49"/>
    </row>
    <row r="158" spans="2:18" hidden="1">
      <c r="B158" s="94" t="s">
        <v>533</v>
      </c>
      <c r="C158" s="52"/>
      <c r="D158" s="69"/>
      <c r="E158" s="49" t="s">
        <v>625</v>
      </c>
      <c r="F158" s="28" t="s">
        <v>299</v>
      </c>
      <c r="G158" s="70">
        <f t="shared" ref="G158:P158" si="86">IF(G157="",G156,G157)</f>
        <v>0</v>
      </c>
      <c r="H158" s="70">
        <f t="shared" si="86"/>
        <v>0</v>
      </c>
      <c r="I158" s="70">
        <f t="shared" si="86"/>
        <v>0</v>
      </c>
      <c r="J158" s="70">
        <f t="shared" si="86"/>
        <v>0</v>
      </c>
      <c r="K158" s="70">
        <f t="shared" si="86"/>
        <v>0</v>
      </c>
      <c r="L158" s="70">
        <f t="shared" si="86"/>
        <v>0</v>
      </c>
      <c r="M158" s="70">
        <f t="shared" si="86"/>
        <v>0</v>
      </c>
      <c r="N158" s="70">
        <f t="shared" si="86"/>
        <v>0</v>
      </c>
      <c r="O158" s="70">
        <f t="shared" si="86"/>
        <v>0</v>
      </c>
      <c r="P158" s="70">
        <f t="shared" si="86"/>
        <v>0</v>
      </c>
      <c r="Q158" s="502"/>
      <c r="R158" s="49"/>
    </row>
    <row r="159" spans="2:18" hidden="1">
      <c r="B159" s="94" t="s">
        <v>533</v>
      </c>
      <c r="C159" s="52"/>
      <c r="D159" s="68" t="s">
        <v>1154</v>
      </c>
      <c r="E159" s="49" t="s">
        <v>623</v>
      </c>
      <c r="F159" s="28" t="s">
        <v>299</v>
      </c>
      <c r="G159" s="70">
        <f t="shared" ref="G159:P159" si="87">G112</f>
        <v>0</v>
      </c>
      <c r="H159" s="70">
        <f t="shared" si="87"/>
        <v>0</v>
      </c>
      <c r="I159" s="70">
        <f t="shared" si="87"/>
        <v>0</v>
      </c>
      <c r="J159" s="70">
        <f t="shared" si="87"/>
        <v>0</v>
      </c>
      <c r="K159" s="70">
        <f t="shared" si="87"/>
        <v>0</v>
      </c>
      <c r="L159" s="70">
        <f t="shared" si="87"/>
        <v>0</v>
      </c>
      <c r="M159" s="70">
        <f t="shared" si="87"/>
        <v>0</v>
      </c>
      <c r="N159" s="70">
        <f t="shared" si="87"/>
        <v>0</v>
      </c>
      <c r="O159" s="70">
        <f t="shared" si="87"/>
        <v>0</v>
      </c>
      <c r="P159" s="70">
        <f t="shared" si="87"/>
        <v>0</v>
      </c>
      <c r="Q159" s="502"/>
      <c r="R159" s="49"/>
    </row>
    <row r="160" spans="2:18" hidden="1">
      <c r="B160" s="94" t="s">
        <v>533</v>
      </c>
      <c r="C160" s="52"/>
      <c r="D160" s="65"/>
      <c r="E160" s="49" t="s">
        <v>624</v>
      </c>
      <c r="F160" s="28" t="s">
        <v>299</v>
      </c>
      <c r="G160" s="460"/>
      <c r="H160" s="460"/>
      <c r="I160" s="460"/>
      <c r="J160" s="460"/>
      <c r="K160" s="460"/>
      <c r="L160" s="460"/>
      <c r="M160" s="460"/>
      <c r="N160" s="460"/>
      <c r="O160" s="460"/>
      <c r="P160" s="460"/>
      <c r="Q160" s="502"/>
      <c r="R160" s="49"/>
    </row>
    <row r="161" spans="2:18" hidden="1">
      <c r="B161" s="94" t="s">
        <v>533</v>
      </c>
      <c r="C161" s="52"/>
      <c r="D161" s="69"/>
      <c r="E161" s="49" t="s">
        <v>625</v>
      </c>
      <c r="F161" s="28" t="s">
        <v>299</v>
      </c>
      <c r="G161" s="70">
        <f t="shared" ref="G161:P161" si="88">IF(G160="",G159,G160)</f>
        <v>0</v>
      </c>
      <c r="H161" s="70">
        <f t="shared" si="88"/>
        <v>0</v>
      </c>
      <c r="I161" s="70">
        <f t="shared" si="88"/>
        <v>0</v>
      </c>
      <c r="J161" s="70">
        <f t="shared" si="88"/>
        <v>0</v>
      </c>
      <c r="K161" s="70">
        <f t="shared" si="88"/>
        <v>0</v>
      </c>
      <c r="L161" s="70">
        <f t="shared" si="88"/>
        <v>0</v>
      </c>
      <c r="M161" s="70">
        <f t="shared" si="88"/>
        <v>0</v>
      </c>
      <c r="N161" s="70">
        <f t="shared" si="88"/>
        <v>0</v>
      </c>
      <c r="O161" s="70">
        <f t="shared" si="88"/>
        <v>0</v>
      </c>
      <c r="P161" s="70">
        <f t="shared" si="88"/>
        <v>0</v>
      </c>
      <c r="Q161" s="502"/>
      <c r="R161" s="49"/>
    </row>
    <row r="162" spans="2:18" hidden="1">
      <c r="B162" s="94" t="s">
        <v>533</v>
      </c>
      <c r="C162" s="56"/>
      <c r="D162" s="68" t="s">
        <v>1155</v>
      </c>
      <c r="E162" s="49" t="s">
        <v>649</v>
      </c>
      <c r="F162" s="28" t="s">
        <v>299</v>
      </c>
      <c r="G162" s="110">
        <f>G158+G161</f>
        <v>0</v>
      </c>
      <c r="H162" s="110">
        <f t="shared" ref="H162:P162" si="89">H158+H161</f>
        <v>0</v>
      </c>
      <c r="I162" s="110">
        <f t="shared" si="89"/>
        <v>0</v>
      </c>
      <c r="J162" s="110">
        <f t="shared" si="89"/>
        <v>0</v>
      </c>
      <c r="K162" s="110">
        <f t="shared" si="89"/>
        <v>0</v>
      </c>
      <c r="L162" s="110">
        <f t="shared" si="89"/>
        <v>0</v>
      </c>
      <c r="M162" s="110">
        <f t="shared" si="89"/>
        <v>0</v>
      </c>
      <c r="N162" s="110">
        <f t="shared" si="89"/>
        <v>0</v>
      </c>
      <c r="O162" s="110">
        <f t="shared" si="89"/>
        <v>0</v>
      </c>
      <c r="P162" s="110">
        <f t="shared" si="89"/>
        <v>0</v>
      </c>
      <c r="Q162" s="502"/>
      <c r="R162" s="49"/>
    </row>
    <row r="163" spans="2:18" ht="22.5" hidden="1">
      <c r="B163" s="94" t="s">
        <v>533</v>
      </c>
      <c r="C163" s="50" t="s">
        <v>541</v>
      </c>
      <c r="D163" s="68" t="str">
        <f t="shared" ref="D163:D172" si="90">Ameliorants</f>
        <v>Ameliorants</v>
      </c>
      <c r="E163" s="49" t="s">
        <v>311</v>
      </c>
      <c r="F163" s="28" t="s">
        <v>123</v>
      </c>
      <c r="G163" s="644" t="s">
        <v>312</v>
      </c>
      <c r="H163" s="644" t="s">
        <v>313</v>
      </c>
      <c r="I163" s="644" t="s">
        <v>314</v>
      </c>
      <c r="J163" s="644" t="s">
        <v>315</v>
      </c>
      <c r="K163" s="644" t="s">
        <v>316</v>
      </c>
      <c r="L163" s="644" t="s">
        <v>317</v>
      </c>
      <c r="M163" s="644" t="s">
        <v>318</v>
      </c>
      <c r="N163" s="644" t="s">
        <v>319</v>
      </c>
      <c r="O163" s="644" t="s">
        <v>312</v>
      </c>
      <c r="P163" s="644" t="s">
        <v>312</v>
      </c>
      <c r="Q163" s="502"/>
      <c r="R163" s="49"/>
    </row>
    <row r="164" spans="2:18" hidden="1">
      <c r="B164" s="94" t="s">
        <v>533</v>
      </c>
      <c r="C164" s="52"/>
      <c r="D164" s="65"/>
      <c r="E164" s="49" t="s">
        <v>320</v>
      </c>
      <c r="F164" s="28" t="s">
        <v>321</v>
      </c>
      <c r="G164" s="78">
        <f>_xlfn.XLOOKUP(G163,'Assumptions - General'!$B$5:$B$14,'Assumptions - General'!$C$5:$C$14)</f>
        <v>2.5</v>
      </c>
      <c r="H164" s="78">
        <f>_xlfn.XLOOKUP(H163,'Assumptions - General'!$B$5:$B$14,'Assumptions - General'!$C$5:$C$14)</f>
        <v>2</v>
      </c>
      <c r="I164" s="78">
        <f>_xlfn.XLOOKUP(I163,'Assumptions - General'!$B$5:$B$14,'Assumptions - General'!$C$5:$C$14)</f>
        <v>50</v>
      </c>
      <c r="J164" s="78">
        <f>_xlfn.XLOOKUP(J163,'Assumptions - General'!$B$5:$B$14,'Assumptions - General'!$C$5:$C$14)</f>
        <v>10</v>
      </c>
      <c r="K164" s="78">
        <f>_xlfn.XLOOKUP(K163,'Assumptions - General'!$B$5:$B$14,'Assumptions - General'!$C$5:$C$14)</f>
        <v>5</v>
      </c>
      <c r="L164" s="78">
        <f>_xlfn.XLOOKUP(L163,'Assumptions - General'!$B$5:$B$14,'Assumptions - General'!$C$5:$C$14)</f>
        <v>0.3</v>
      </c>
      <c r="M164" s="78">
        <f>_xlfn.XLOOKUP(M163,'Assumptions - General'!$B$5:$B$14,'Assumptions - General'!$C$5:$C$14)</f>
        <v>0.1</v>
      </c>
      <c r="N164" s="78">
        <f>_xlfn.XLOOKUP(N163,'Assumptions - General'!$B$5:$B$14,'Assumptions - General'!$C$5:$C$14)</f>
        <v>0.1</v>
      </c>
      <c r="O164" s="78">
        <f>_xlfn.XLOOKUP(O163,'Assumptions - General'!$B$5:$B$14,'Assumptions - General'!$C$5:$C$14)</f>
        <v>2.5</v>
      </c>
      <c r="P164" s="78">
        <f>_xlfn.XLOOKUP(P163,'Assumptions - General'!$B$5:$B$14,'Assumptions - General'!$C$5:$C$14)</f>
        <v>2.5</v>
      </c>
      <c r="Q164" s="502"/>
      <c r="R164" s="49"/>
    </row>
    <row r="165" spans="2:18" hidden="1">
      <c r="B165" s="94" t="s">
        <v>533</v>
      </c>
      <c r="C165" s="56"/>
      <c r="D165" s="69"/>
      <c r="E165" s="49" t="s">
        <v>322</v>
      </c>
      <c r="F165" s="28" t="s">
        <v>221</v>
      </c>
      <c r="G165" s="78">
        <f t="shared" ref="G165:P165" si="91">G164*G162</f>
        <v>0</v>
      </c>
      <c r="H165" s="78">
        <f t="shared" si="91"/>
        <v>0</v>
      </c>
      <c r="I165" s="78">
        <f t="shared" si="91"/>
        <v>0</v>
      </c>
      <c r="J165" s="78">
        <f t="shared" si="91"/>
        <v>0</v>
      </c>
      <c r="K165" s="78">
        <f t="shared" si="91"/>
        <v>0</v>
      </c>
      <c r="L165" s="78">
        <f t="shared" si="91"/>
        <v>0</v>
      </c>
      <c r="M165" s="78">
        <f t="shared" si="91"/>
        <v>0</v>
      </c>
      <c r="N165" s="78">
        <f t="shared" si="91"/>
        <v>0</v>
      </c>
      <c r="O165" s="78">
        <f t="shared" si="91"/>
        <v>0</v>
      </c>
      <c r="P165" s="78">
        <f t="shared" si="91"/>
        <v>0</v>
      </c>
      <c r="Q165" s="502"/>
      <c r="R165" s="49"/>
    </row>
    <row r="166" spans="2:18" hidden="1">
      <c r="B166" s="94" t="s">
        <v>533</v>
      </c>
      <c r="C166" s="50" t="s">
        <v>556</v>
      </c>
      <c r="D166" s="68" t="str">
        <f t="shared" si="90"/>
        <v>Ameliorants</v>
      </c>
      <c r="E166" s="49" t="s">
        <v>227</v>
      </c>
      <c r="F166" s="28" t="s">
        <v>228</v>
      </c>
      <c r="G166" s="54">
        <f t="shared" ref="G166:P166" si="92">_xlfn.XLOOKUP(G163,Rates_soil_seed_adds_names_R,Rates_soil_seed_adds_rates_R)</f>
        <v>47</v>
      </c>
      <c r="H166" s="54">
        <f t="shared" si="92"/>
        <v>77</v>
      </c>
      <c r="I166" s="54">
        <f t="shared" si="92"/>
        <v>67.530528599999997</v>
      </c>
      <c r="J166" s="54">
        <f t="shared" si="92"/>
        <v>114.5305286</v>
      </c>
      <c r="K166" s="54">
        <f t="shared" si="92"/>
        <v>45.020352399999993</v>
      </c>
      <c r="L166" s="54">
        <f t="shared" si="92"/>
        <v>1125.5088099999998</v>
      </c>
      <c r="M166" s="54">
        <f t="shared" si="92"/>
        <v>500</v>
      </c>
      <c r="N166" s="54">
        <f t="shared" si="92"/>
        <v>3</v>
      </c>
      <c r="O166" s="54">
        <f t="shared" si="92"/>
        <v>47</v>
      </c>
      <c r="P166" s="54">
        <f t="shared" si="92"/>
        <v>47</v>
      </c>
      <c r="Q166" s="502"/>
      <c r="R166" s="49"/>
    </row>
    <row r="167" spans="2:18" hidden="1">
      <c r="B167" s="94" t="s">
        <v>533</v>
      </c>
      <c r="C167" s="52"/>
      <c r="D167" s="65"/>
      <c r="E167" s="55" t="s">
        <v>229</v>
      </c>
      <c r="F167" s="28" t="s">
        <v>228</v>
      </c>
      <c r="G167" s="414"/>
      <c r="H167" s="414"/>
      <c r="I167" s="414"/>
      <c r="J167" s="414"/>
      <c r="K167" s="414"/>
      <c r="L167" s="414"/>
      <c r="M167" s="414"/>
      <c r="N167" s="414"/>
      <c r="O167" s="414"/>
      <c r="P167" s="414"/>
      <c r="Q167" s="502"/>
      <c r="R167" s="49"/>
    </row>
    <row r="168" spans="2:18" hidden="1">
      <c r="B168" s="94" t="s">
        <v>533</v>
      </c>
      <c r="C168" s="56"/>
      <c r="D168" s="69"/>
      <c r="E168" s="49" t="s">
        <v>325</v>
      </c>
      <c r="F168" s="28" t="s">
        <v>207</v>
      </c>
      <c r="G168" s="134">
        <f t="shared" ref="G168:P168" si="93">IF(G167="",G166,G167)*G165</f>
        <v>0</v>
      </c>
      <c r="H168" s="134">
        <f t="shared" si="93"/>
        <v>0</v>
      </c>
      <c r="I168" s="134">
        <f t="shared" si="93"/>
        <v>0</v>
      </c>
      <c r="J168" s="134">
        <f t="shared" si="93"/>
        <v>0</v>
      </c>
      <c r="K168" s="134">
        <f t="shared" si="93"/>
        <v>0</v>
      </c>
      <c r="L168" s="134">
        <f t="shared" si="93"/>
        <v>0</v>
      </c>
      <c r="M168" s="134">
        <f t="shared" si="93"/>
        <v>0</v>
      </c>
      <c r="N168" s="134">
        <f t="shared" si="93"/>
        <v>0</v>
      </c>
      <c r="O168" s="134">
        <f t="shared" si="93"/>
        <v>0</v>
      </c>
      <c r="P168" s="134">
        <f t="shared" si="93"/>
        <v>0</v>
      </c>
      <c r="Q168" s="502"/>
      <c r="R168" s="49"/>
    </row>
    <row r="169" spans="2:18" hidden="1">
      <c r="B169" s="94" t="s">
        <v>533</v>
      </c>
      <c r="C169" s="50" t="s">
        <v>557</v>
      </c>
      <c r="D169" s="68" t="str">
        <f t="shared" si="90"/>
        <v>Ameliorants</v>
      </c>
      <c r="E169" s="82" t="s">
        <v>1156</v>
      </c>
      <c r="F169" s="28" t="s">
        <v>411</v>
      </c>
      <c r="G169" s="644" t="s">
        <v>233</v>
      </c>
      <c r="H169" s="644" t="s">
        <v>233</v>
      </c>
      <c r="I169" s="644" t="s">
        <v>233</v>
      </c>
      <c r="J169" s="644" t="s">
        <v>233</v>
      </c>
      <c r="K169" s="644" t="s">
        <v>233</v>
      </c>
      <c r="L169" s="644" t="s">
        <v>233</v>
      </c>
      <c r="M169" s="644" t="s">
        <v>233</v>
      </c>
      <c r="N169" s="644" t="s">
        <v>233</v>
      </c>
      <c r="O169" s="644" t="s">
        <v>233</v>
      </c>
      <c r="P169" s="644" t="s">
        <v>233</v>
      </c>
      <c r="Q169" s="502"/>
      <c r="R169" s="49"/>
    </row>
    <row r="170" spans="2:18" hidden="1">
      <c r="B170" s="94" t="s">
        <v>533</v>
      </c>
      <c r="C170" s="52"/>
      <c r="D170" s="65"/>
      <c r="E170" s="49" t="s">
        <v>826</v>
      </c>
      <c r="F170" s="28" t="s">
        <v>234</v>
      </c>
      <c r="G170" s="54">
        <f t="shared" ref="G170:P170" si="94">_xlfn.XLOOKUP(G169,Long_haul_soil_amend_names_volume_CS,Long_haul_soil_amend_rates_volume_CS)</f>
        <v>0.18641557835380454</v>
      </c>
      <c r="H170" s="54">
        <f t="shared" si="94"/>
        <v>0.18641557835380454</v>
      </c>
      <c r="I170" s="54">
        <f t="shared" si="94"/>
        <v>0.18641557835380454</v>
      </c>
      <c r="J170" s="54">
        <f t="shared" si="94"/>
        <v>0.18641557835380454</v>
      </c>
      <c r="K170" s="54">
        <f t="shared" si="94"/>
        <v>0.18641557835380454</v>
      </c>
      <c r="L170" s="54">
        <f t="shared" si="94"/>
        <v>0.18641557835380454</v>
      </c>
      <c r="M170" s="54">
        <f t="shared" si="94"/>
        <v>0.18641557835380454</v>
      </c>
      <c r="N170" s="54">
        <f t="shared" si="94"/>
        <v>0.18641557835380454</v>
      </c>
      <c r="O170" s="54">
        <f t="shared" si="94"/>
        <v>0.18641557835380454</v>
      </c>
      <c r="P170" s="54">
        <f t="shared" si="94"/>
        <v>0.18641557835380454</v>
      </c>
      <c r="Q170" s="502"/>
      <c r="R170" s="49"/>
    </row>
    <row r="171" spans="2:18" hidden="1">
      <c r="B171" s="94" t="s">
        <v>533</v>
      </c>
      <c r="C171" s="56"/>
      <c r="D171" s="69"/>
      <c r="E171" s="49" t="s">
        <v>146</v>
      </c>
      <c r="F171" s="28" t="s">
        <v>207</v>
      </c>
      <c r="G171" s="135">
        <f t="shared" ref="G171:P171" si="95">G165*_xlfn.XLOOKUP(G169,Long_haul_distance_names_L,Long_haul_distances_average_L)*G170</f>
        <v>0</v>
      </c>
      <c r="H171" s="135">
        <f t="shared" si="95"/>
        <v>0</v>
      </c>
      <c r="I171" s="135">
        <f t="shared" si="95"/>
        <v>0</v>
      </c>
      <c r="J171" s="135">
        <f t="shared" si="95"/>
        <v>0</v>
      </c>
      <c r="K171" s="135">
        <f t="shared" si="95"/>
        <v>0</v>
      </c>
      <c r="L171" s="135">
        <f t="shared" si="95"/>
        <v>0</v>
      </c>
      <c r="M171" s="135">
        <f t="shared" si="95"/>
        <v>0</v>
      </c>
      <c r="N171" s="135">
        <f t="shared" si="95"/>
        <v>0</v>
      </c>
      <c r="O171" s="135">
        <f t="shared" si="95"/>
        <v>0</v>
      </c>
      <c r="P171" s="135">
        <f t="shared" si="95"/>
        <v>0</v>
      </c>
      <c r="Q171" s="502"/>
      <c r="R171" s="49"/>
    </row>
    <row r="172" spans="2:18" hidden="1">
      <c r="B172" s="94" t="s">
        <v>533</v>
      </c>
      <c r="C172" s="50" t="s">
        <v>328</v>
      </c>
      <c r="D172" s="68" t="str">
        <f t="shared" si="90"/>
        <v>Ameliorants</v>
      </c>
      <c r="E172" s="55" t="s">
        <v>229</v>
      </c>
      <c r="F172" s="28" t="s">
        <v>329</v>
      </c>
      <c r="G172" s="414"/>
      <c r="H172" s="414"/>
      <c r="I172" s="414"/>
      <c r="J172" s="414"/>
      <c r="K172" s="414"/>
      <c r="L172" s="414"/>
      <c r="M172" s="414"/>
      <c r="N172" s="414"/>
      <c r="O172" s="414"/>
      <c r="P172" s="414"/>
      <c r="Q172" s="502"/>
      <c r="R172" s="49"/>
    </row>
    <row r="173" spans="2:18" hidden="1">
      <c r="B173" s="94" t="s">
        <v>533</v>
      </c>
      <c r="C173" s="52"/>
      <c r="D173" s="65"/>
      <c r="E173" s="49" t="s">
        <v>227</v>
      </c>
      <c r="F173" s="28" t="s">
        <v>329</v>
      </c>
      <c r="G173" s="54">
        <f>'Cost Schedule'!$D$9</f>
        <v>2323.4444444444448</v>
      </c>
      <c r="H173" s="54">
        <f>'Cost Schedule'!$D$9</f>
        <v>2323.4444444444448</v>
      </c>
      <c r="I173" s="54">
        <f>'Cost Schedule'!$D$9</f>
        <v>2323.4444444444448</v>
      </c>
      <c r="J173" s="54">
        <f>'Cost Schedule'!$D$9</f>
        <v>2323.4444444444448</v>
      </c>
      <c r="K173" s="54">
        <f>'Cost Schedule'!$D$9</f>
        <v>2323.4444444444448</v>
      </c>
      <c r="L173" s="54">
        <f>'Cost Schedule'!$D$9</f>
        <v>2323.4444444444448</v>
      </c>
      <c r="M173" s="54">
        <f>'Cost Schedule'!$D$9</f>
        <v>2323.4444444444448</v>
      </c>
      <c r="N173" s="54">
        <f>'Cost Schedule'!$D$9</f>
        <v>2323.4444444444448</v>
      </c>
      <c r="O173" s="54">
        <f>'Cost Schedule'!$D$9</f>
        <v>2323.4444444444448</v>
      </c>
      <c r="P173" s="54">
        <f>'Cost Schedule'!$D$9</f>
        <v>2323.4444444444448</v>
      </c>
      <c r="Q173" s="502"/>
      <c r="R173" s="49"/>
    </row>
    <row r="174" spans="2:18" hidden="1">
      <c r="B174" s="94" t="s">
        <v>533</v>
      </c>
      <c r="C174" s="56"/>
      <c r="D174" s="69"/>
      <c r="E174" s="49" t="s">
        <v>146</v>
      </c>
      <c r="F174" s="28" t="s">
        <v>207</v>
      </c>
      <c r="G174" s="134">
        <f t="shared" ref="G174:P174" si="96">G162*IF(G172="",G173,G172)</f>
        <v>0</v>
      </c>
      <c r="H174" s="134">
        <f t="shared" si="96"/>
        <v>0</v>
      </c>
      <c r="I174" s="134">
        <f t="shared" si="96"/>
        <v>0</v>
      </c>
      <c r="J174" s="134">
        <f t="shared" si="96"/>
        <v>0</v>
      </c>
      <c r="K174" s="134">
        <f t="shared" si="96"/>
        <v>0</v>
      </c>
      <c r="L174" s="134">
        <f t="shared" si="96"/>
        <v>0</v>
      </c>
      <c r="M174" s="134">
        <f t="shared" si="96"/>
        <v>0</v>
      </c>
      <c r="N174" s="134">
        <f t="shared" si="96"/>
        <v>0</v>
      </c>
      <c r="O174" s="134">
        <f t="shared" si="96"/>
        <v>0</v>
      </c>
      <c r="P174" s="134">
        <f t="shared" si="96"/>
        <v>0</v>
      </c>
      <c r="Q174" s="502"/>
      <c r="R174" s="49"/>
    </row>
    <row r="175" spans="2:18" hidden="1">
      <c r="B175" s="94" t="s">
        <v>533</v>
      </c>
      <c r="C175" s="158"/>
      <c r="D175" s="66"/>
      <c r="E175" s="67" t="str">
        <f>C156</f>
        <v>Source and Apply Ameliorants</v>
      </c>
      <c r="F175" s="72"/>
      <c r="G175" s="133">
        <f t="shared" ref="G175:P175" si="97">G168+G171+G174</f>
        <v>0</v>
      </c>
      <c r="H175" s="133">
        <f t="shared" si="97"/>
        <v>0</v>
      </c>
      <c r="I175" s="133">
        <f t="shared" si="97"/>
        <v>0</v>
      </c>
      <c r="J175" s="133">
        <f t="shared" si="97"/>
        <v>0</v>
      </c>
      <c r="K175" s="133">
        <f t="shared" si="97"/>
        <v>0</v>
      </c>
      <c r="L175" s="133">
        <f t="shared" si="97"/>
        <v>0</v>
      </c>
      <c r="M175" s="133">
        <f t="shared" si="97"/>
        <v>0</v>
      </c>
      <c r="N175" s="133">
        <f t="shared" si="97"/>
        <v>0</v>
      </c>
      <c r="O175" s="133">
        <f t="shared" si="97"/>
        <v>0</v>
      </c>
      <c r="P175" s="133">
        <f t="shared" si="97"/>
        <v>0</v>
      </c>
      <c r="Q175" s="502"/>
      <c r="R175" s="49"/>
    </row>
    <row r="176" spans="2:18" hidden="1">
      <c r="B176" s="94" t="s">
        <v>533</v>
      </c>
      <c r="C176" s="159" t="s">
        <v>1003</v>
      </c>
      <c r="D176" s="68" t="s">
        <v>1157</v>
      </c>
      <c r="E176" s="49" t="s">
        <v>623</v>
      </c>
      <c r="F176" s="28" t="s">
        <v>299</v>
      </c>
      <c r="G176" s="70">
        <f t="shared" ref="G176:P176" si="98">G$82</f>
        <v>0</v>
      </c>
      <c r="H176" s="70">
        <f t="shared" si="98"/>
        <v>0</v>
      </c>
      <c r="I176" s="70">
        <f t="shared" si="98"/>
        <v>0</v>
      </c>
      <c r="J176" s="70">
        <f t="shared" si="98"/>
        <v>0</v>
      </c>
      <c r="K176" s="70">
        <f t="shared" si="98"/>
        <v>0</v>
      </c>
      <c r="L176" s="70">
        <f t="shared" si="98"/>
        <v>0</v>
      </c>
      <c r="M176" s="70">
        <f t="shared" si="98"/>
        <v>0</v>
      </c>
      <c r="N176" s="70">
        <f t="shared" si="98"/>
        <v>0</v>
      </c>
      <c r="O176" s="70">
        <f t="shared" si="98"/>
        <v>0</v>
      </c>
      <c r="P176" s="70">
        <f t="shared" si="98"/>
        <v>0</v>
      </c>
      <c r="Q176" s="502"/>
      <c r="R176" s="49"/>
    </row>
    <row r="177" spans="2:18" hidden="1">
      <c r="B177" s="94" t="s">
        <v>533</v>
      </c>
      <c r="C177" s="52"/>
      <c r="D177" s="65"/>
      <c r="E177" s="49" t="s">
        <v>624</v>
      </c>
      <c r="F177" s="28" t="s">
        <v>299</v>
      </c>
      <c r="G177" s="460"/>
      <c r="H177" s="460"/>
      <c r="I177" s="460"/>
      <c r="J177" s="460"/>
      <c r="K177" s="460"/>
      <c r="L177" s="460"/>
      <c r="M177" s="460"/>
      <c r="N177" s="460"/>
      <c r="O177" s="460"/>
      <c r="P177" s="460"/>
      <c r="Q177" s="502"/>
      <c r="R177" s="49"/>
    </row>
    <row r="178" spans="2:18" hidden="1">
      <c r="B178" s="94" t="s">
        <v>533</v>
      </c>
      <c r="C178" s="52"/>
      <c r="D178" s="69"/>
      <c r="E178" s="49" t="s">
        <v>625</v>
      </c>
      <c r="F178" s="28" t="s">
        <v>299</v>
      </c>
      <c r="G178" s="70">
        <f t="shared" ref="G178:P178" si="99">IF(G177="",G176,G177)</f>
        <v>0</v>
      </c>
      <c r="H178" s="70">
        <f t="shared" si="99"/>
        <v>0</v>
      </c>
      <c r="I178" s="70">
        <f t="shared" si="99"/>
        <v>0</v>
      </c>
      <c r="J178" s="70">
        <f t="shared" si="99"/>
        <v>0</v>
      </c>
      <c r="K178" s="70">
        <f t="shared" si="99"/>
        <v>0</v>
      </c>
      <c r="L178" s="70">
        <f t="shared" si="99"/>
        <v>0</v>
      </c>
      <c r="M178" s="70">
        <f t="shared" si="99"/>
        <v>0</v>
      </c>
      <c r="N178" s="70">
        <f t="shared" si="99"/>
        <v>0</v>
      </c>
      <c r="O178" s="70">
        <f t="shared" si="99"/>
        <v>0</v>
      </c>
      <c r="P178" s="70">
        <f t="shared" si="99"/>
        <v>0</v>
      </c>
      <c r="Q178" s="502"/>
      <c r="R178" s="49"/>
    </row>
    <row r="179" spans="2:18" hidden="1">
      <c r="B179" s="94" t="s">
        <v>533</v>
      </c>
      <c r="C179" s="52"/>
      <c r="D179" s="68" t="s">
        <v>1158</v>
      </c>
      <c r="E179" s="49" t="s">
        <v>623</v>
      </c>
      <c r="F179" s="28" t="s">
        <v>299</v>
      </c>
      <c r="G179" s="70">
        <f t="shared" ref="G179:P179" si="100">G112</f>
        <v>0</v>
      </c>
      <c r="H179" s="70">
        <f t="shared" si="100"/>
        <v>0</v>
      </c>
      <c r="I179" s="70">
        <f t="shared" si="100"/>
        <v>0</v>
      </c>
      <c r="J179" s="70">
        <f t="shared" si="100"/>
        <v>0</v>
      </c>
      <c r="K179" s="70">
        <f t="shared" si="100"/>
        <v>0</v>
      </c>
      <c r="L179" s="70">
        <f t="shared" si="100"/>
        <v>0</v>
      </c>
      <c r="M179" s="70">
        <f t="shared" si="100"/>
        <v>0</v>
      </c>
      <c r="N179" s="70">
        <f t="shared" si="100"/>
        <v>0</v>
      </c>
      <c r="O179" s="70">
        <f t="shared" si="100"/>
        <v>0</v>
      </c>
      <c r="P179" s="70">
        <f t="shared" si="100"/>
        <v>0</v>
      </c>
      <c r="Q179" s="502"/>
      <c r="R179" s="49"/>
    </row>
    <row r="180" spans="2:18" hidden="1">
      <c r="B180" s="94" t="s">
        <v>533</v>
      </c>
      <c r="C180" s="52"/>
      <c r="D180" s="65"/>
      <c r="E180" s="49" t="s">
        <v>624</v>
      </c>
      <c r="F180" s="28" t="s">
        <v>299</v>
      </c>
      <c r="G180" s="460"/>
      <c r="H180" s="460"/>
      <c r="I180" s="460"/>
      <c r="J180" s="460"/>
      <c r="K180" s="460"/>
      <c r="L180" s="460"/>
      <c r="M180" s="460"/>
      <c r="N180" s="460"/>
      <c r="O180" s="460"/>
      <c r="P180" s="460"/>
      <c r="Q180" s="502"/>
      <c r="R180" s="49"/>
    </row>
    <row r="181" spans="2:18" hidden="1">
      <c r="B181" s="94" t="s">
        <v>533</v>
      </c>
      <c r="C181" s="52"/>
      <c r="D181" s="69"/>
      <c r="E181" s="49" t="s">
        <v>625</v>
      </c>
      <c r="F181" s="28" t="s">
        <v>299</v>
      </c>
      <c r="G181" s="70">
        <f t="shared" ref="G181:P181" si="101">IF(G180="",G179,G180)</f>
        <v>0</v>
      </c>
      <c r="H181" s="70">
        <f t="shared" si="101"/>
        <v>0</v>
      </c>
      <c r="I181" s="70">
        <f t="shared" si="101"/>
        <v>0</v>
      </c>
      <c r="J181" s="70">
        <f t="shared" si="101"/>
        <v>0</v>
      </c>
      <c r="K181" s="70">
        <f t="shared" si="101"/>
        <v>0</v>
      </c>
      <c r="L181" s="70">
        <f t="shared" si="101"/>
        <v>0</v>
      </c>
      <c r="M181" s="70">
        <f t="shared" si="101"/>
        <v>0</v>
      </c>
      <c r="N181" s="70">
        <f t="shared" si="101"/>
        <v>0</v>
      </c>
      <c r="O181" s="70">
        <f t="shared" si="101"/>
        <v>0</v>
      </c>
      <c r="P181" s="70">
        <f t="shared" si="101"/>
        <v>0</v>
      </c>
      <c r="Q181" s="502"/>
      <c r="R181" s="49"/>
    </row>
    <row r="182" spans="2:18" hidden="1">
      <c r="B182" s="94" t="s">
        <v>533</v>
      </c>
      <c r="C182" s="56"/>
      <c r="D182" s="49" t="s">
        <v>1159</v>
      </c>
      <c r="E182" s="49" t="s">
        <v>649</v>
      </c>
      <c r="F182" s="28" t="s">
        <v>299</v>
      </c>
      <c r="G182" s="110">
        <f>G178+G181</f>
        <v>0</v>
      </c>
      <c r="H182" s="110">
        <f t="shared" ref="H182:P182" si="102">H178+H181</f>
        <v>0</v>
      </c>
      <c r="I182" s="110">
        <f t="shared" si="102"/>
        <v>0</v>
      </c>
      <c r="J182" s="110">
        <f t="shared" si="102"/>
        <v>0</v>
      </c>
      <c r="K182" s="110">
        <f t="shared" si="102"/>
        <v>0</v>
      </c>
      <c r="L182" s="110">
        <f t="shared" si="102"/>
        <v>0</v>
      </c>
      <c r="M182" s="110">
        <f t="shared" si="102"/>
        <v>0</v>
      </c>
      <c r="N182" s="110">
        <f t="shared" si="102"/>
        <v>0</v>
      </c>
      <c r="O182" s="110">
        <f t="shared" si="102"/>
        <v>0</v>
      </c>
      <c r="P182" s="110">
        <f t="shared" si="102"/>
        <v>0</v>
      </c>
      <c r="Q182" s="502"/>
      <c r="R182" s="49"/>
    </row>
    <row r="183" spans="2:18" ht="33.75" hidden="1">
      <c r="B183" s="94" t="s">
        <v>533</v>
      </c>
      <c r="C183" s="75" t="s">
        <v>344</v>
      </c>
      <c r="D183" s="68" t="s">
        <v>345</v>
      </c>
      <c r="E183" s="49" t="s">
        <v>333</v>
      </c>
      <c r="F183" s="28" t="s">
        <v>123</v>
      </c>
      <c r="G183" s="412" t="s">
        <v>346</v>
      </c>
      <c r="H183" s="412" t="s">
        <v>346</v>
      </c>
      <c r="I183" s="412" t="s">
        <v>347</v>
      </c>
      <c r="J183" s="412" t="s">
        <v>347</v>
      </c>
      <c r="K183" s="412" t="s">
        <v>348</v>
      </c>
      <c r="L183" s="412" t="s">
        <v>349</v>
      </c>
      <c r="M183" s="412" t="s">
        <v>661</v>
      </c>
      <c r="N183" s="412" t="s">
        <v>662</v>
      </c>
      <c r="O183" s="412" t="s">
        <v>350</v>
      </c>
      <c r="P183" s="412" t="s">
        <v>351</v>
      </c>
      <c r="Q183" s="502"/>
      <c r="R183" s="49"/>
    </row>
    <row r="184" spans="2:18" hidden="1">
      <c r="B184" s="94" t="s">
        <v>533</v>
      </c>
      <c r="C184" s="76"/>
      <c r="D184" s="65"/>
      <c r="E184" s="49" t="s">
        <v>227</v>
      </c>
      <c r="F184" s="28" t="s">
        <v>352</v>
      </c>
      <c r="G184" s="54">
        <f>_xlfn.XLOOKUP(G183,Rates_soil_seed_adds_names_R,Rates_soil_seed_adds_rates_R)</f>
        <v>150</v>
      </c>
      <c r="H184" s="54">
        <f t="shared" ref="H184:P184" si="103">_xlfn.XLOOKUP(H183,Rates_soil_seed_adds_names_R,Rates_soil_seed_adds_rates_R)</f>
        <v>150</v>
      </c>
      <c r="I184" s="54">
        <f t="shared" si="103"/>
        <v>350</v>
      </c>
      <c r="J184" s="54">
        <f t="shared" si="103"/>
        <v>350</v>
      </c>
      <c r="K184" s="54">
        <f t="shared" si="103"/>
        <v>5</v>
      </c>
      <c r="L184" s="54">
        <f t="shared" si="103"/>
        <v>15</v>
      </c>
      <c r="M184" s="54">
        <f t="shared" si="103"/>
        <v>17.647058823529413</v>
      </c>
      <c r="N184" s="54">
        <f t="shared" si="103"/>
        <v>920</v>
      </c>
      <c r="O184" s="54">
        <f t="shared" si="103"/>
        <v>17.647058823529413</v>
      </c>
      <c r="P184" s="54">
        <f t="shared" si="103"/>
        <v>920</v>
      </c>
      <c r="Q184" s="502"/>
      <c r="R184" s="55"/>
    </row>
    <row r="185" spans="2:18" hidden="1">
      <c r="B185" s="94" t="s">
        <v>533</v>
      </c>
      <c r="C185" s="76"/>
      <c r="D185" s="65"/>
      <c r="E185" s="49" t="s">
        <v>353</v>
      </c>
      <c r="G185" s="70" t="str">
        <f t="shared" ref="G185:P185" si="104">IF(G183=Arid,"",_xlfn.XLOOKUP(G183,Rates_soil_seed_adds_names_R,Rates_soil_seed_add_units_R))</f>
        <v>kg</v>
      </c>
      <c r="H185" s="70" t="str">
        <f t="shared" si="104"/>
        <v>kg</v>
      </c>
      <c r="I185" s="70" t="str">
        <f t="shared" si="104"/>
        <v>kg</v>
      </c>
      <c r="J185" s="70" t="str">
        <f t="shared" si="104"/>
        <v>kg</v>
      </c>
      <c r="K185" s="70" t="str">
        <f t="shared" si="104"/>
        <v>item</v>
      </c>
      <c r="L185" s="70" t="str">
        <f t="shared" si="104"/>
        <v>item</v>
      </c>
      <c r="M185" s="70" t="str">
        <f t="shared" si="104"/>
        <v>kg</v>
      </c>
      <c r="N185" s="70" t="str">
        <f t="shared" si="104"/>
        <v>kg</v>
      </c>
      <c r="O185" s="70" t="str">
        <f t="shared" si="104"/>
        <v>kg</v>
      </c>
      <c r="P185" s="70" t="str">
        <f t="shared" si="104"/>
        <v>kg</v>
      </c>
      <c r="Q185" s="502"/>
      <c r="R185" s="55"/>
    </row>
    <row r="186" spans="2:18" hidden="1">
      <c r="B186" s="94" t="s">
        <v>533</v>
      </c>
      <c r="C186" s="76"/>
      <c r="D186" s="65"/>
      <c r="E186" s="55" t="s">
        <v>229</v>
      </c>
      <c r="F186" s="28" t="s">
        <v>352</v>
      </c>
      <c r="G186" s="414"/>
      <c r="H186" s="414"/>
      <c r="I186" s="414"/>
      <c r="J186" s="414"/>
      <c r="K186" s="414"/>
      <c r="L186" s="414"/>
      <c r="M186" s="414"/>
      <c r="N186" s="414"/>
      <c r="O186" s="414"/>
      <c r="P186" s="414"/>
      <c r="Q186" s="502"/>
      <c r="R186" s="49"/>
    </row>
    <row r="187" spans="2:18" hidden="1">
      <c r="B187" s="94" t="s">
        <v>533</v>
      </c>
      <c r="C187" s="76"/>
      <c r="D187" s="65"/>
      <c r="E187" s="55" t="s">
        <v>320</v>
      </c>
      <c r="F187" s="28" t="s">
        <v>354</v>
      </c>
      <c r="G187" s="78">
        <f t="shared" ref="G187:P187" si="105">_xlfn.XLOOKUP(G183,Plant_and_seed_appln_rate_names_Assumptions,Plant_and_seed_appln_rates_rates_Assumptions)</f>
        <v>5</v>
      </c>
      <c r="H187" s="78">
        <f t="shared" si="105"/>
        <v>5</v>
      </c>
      <c r="I187" s="78">
        <f t="shared" si="105"/>
        <v>7</v>
      </c>
      <c r="J187" s="78">
        <f t="shared" si="105"/>
        <v>7</v>
      </c>
      <c r="K187" s="78">
        <f t="shared" si="105"/>
        <v>150</v>
      </c>
      <c r="L187" s="78">
        <f t="shared" si="105"/>
        <v>75</v>
      </c>
      <c r="M187" s="78">
        <f t="shared" si="105"/>
        <v>42.5</v>
      </c>
      <c r="N187" s="78">
        <f t="shared" si="105"/>
        <v>12.5</v>
      </c>
      <c r="O187" s="78">
        <f t="shared" si="105"/>
        <v>42.5</v>
      </c>
      <c r="P187" s="78">
        <f t="shared" si="105"/>
        <v>12.5</v>
      </c>
      <c r="Q187" s="502"/>
      <c r="R187" s="49"/>
    </row>
    <row r="188" spans="2:18" hidden="1">
      <c r="B188" s="94" t="s">
        <v>533</v>
      </c>
      <c r="C188" s="76"/>
      <c r="D188" s="65"/>
      <c r="E188" s="55" t="s">
        <v>355</v>
      </c>
      <c r="G188" s="78">
        <f>G187*G182</f>
        <v>0</v>
      </c>
      <c r="H188" s="78">
        <f t="shared" ref="H188:P188" si="106">H187*H182</f>
        <v>0</v>
      </c>
      <c r="I188" s="78">
        <f t="shared" si="106"/>
        <v>0</v>
      </c>
      <c r="J188" s="78">
        <f t="shared" si="106"/>
        <v>0</v>
      </c>
      <c r="K188" s="78">
        <f t="shared" si="106"/>
        <v>0</v>
      </c>
      <c r="L188" s="78">
        <f t="shared" si="106"/>
        <v>0</v>
      </c>
      <c r="M188" s="78">
        <f t="shared" si="106"/>
        <v>0</v>
      </c>
      <c r="N188" s="78">
        <f t="shared" si="106"/>
        <v>0</v>
      </c>
      <c r="O188" s="78">
        <f t="shared" si="106"/>
        <v>0</v>
      </c>
      <c r="P188" s="78">
        <f t="shared" si="106"/>
        <v>0</v>
      </c>
      <c r="Q188" s="502"/>
      <c r="R188" s="49"/>
    </row>
    <row r="189" spans="2:18" hidden="1">
      <c r="B189" s="94" t="s">
        <v>533</v>
      </c>
      <c r="C189" s="77"/>
      <c r="D189" s="69"/>
      <c r="E189" s="49" t="s">
        <v>146</v>
      </c>
      <c r="F189" s="28" t="s">
        <v>207</v>
      </c>
      <c r="G189" s="79">
        <f>IF(G186="",G184,G186)*G188</f>
        <v>0</v>
      </c>
      <c r="H189" s="79">
        <f t="shared" ref="H189:P189" si="107">IF(H186="",H184,H186)*H188</f>
        <v>0</v>
      </c>
      <c r="I189" s="79">
        <f t="shared" si="107"/>
        <v>0</v>
      </c>
      <c r="J189" s="79">
        <f t="shared" si="107"/>
        <v>0</v>
      </c>
      <c r="K189" s="79">
        <f t="shared" si="107"/>
        <v>0</v>
      </c>
      <c r="L189" s="79">
        <f t="shared" si="107"/>
        <v>0</v>
      </c>
      <c r="M189" s="79">
        <f t="shared" si="107"/>
        <v>0</v>
      </c>
      <c r="N189" s="79">
        <f t="shared" si="107"/>
        <v>0</v>
      </c>
      <c r="O189" s="79">
        <f t="shared" si="107"/>
        <v>0</v>
      </c>
      <c r="P189" s="79">
        <f t="shared" si="107"/>
        <v>0</v>
      </c>
      <c r="Q189" s="502"/>
      <c r="R189" s="49"/>
    </row>
    <row r="190" spans="2:18" ht="56.25" hidden="1">
      <c r="B190" s="94" t="s">
        <v>533</v>
      </c>
      <c r="C190" s="75" t="s">
        <v>356</v>
      </c>
      <c r="D190" s="68" t="s">
        <v>345</v>
      </c>
      <c r="E190" s="49" t="s">
        <v>357</v>
      </c>
      <c r="F190" s="28" t="s">
        <v>123</v>
      </c>
      <c r="G190" s="412" t="s">
        <v>358</v>
      </c>
      <c r="H190" s="412" t="s">
        <v>359</v>
      </c>
      <c r="I190" s="412" t="s">
        <v>360</v>
      </c>
      <c r="J190" s="412" t="s">
        <v>361</v>
      </c>
      <c r="K190" s="412" t="s">
        <v>362</v>
      </c>
      <c r="L190" s="412" t="s">
        <v>363</v>
      </c>
      <c r="M190" s="412" t="s">
        <v>664</v>
      </c>
      <c r="N190" s="412" t="s">
        <v>665</v>
      </c>
      <c r="O190" s="412" t="s">
        <v>364</v>
      </c>
      <c r="P190" s="412" t="s">
        <v>365</v>
      </c>
      <c r="Q190" s="502"/>
      <c r="R190" s="49"/>
    </row>
    <row r="191" spans="2:18" hidden="1">
      <c r="B191" s="94" t="s">
        <v>533</v>
      </c>
      <c r="C191" s="76"/>
      <c r="D191" s="65"/>
      <c r="E191" s="49" t="s">
        <v>227</v>
      </c>
      <c r="F191" s="28" t="s">
        <v>299</v>
      </c>
      <c r="G191" s="54">
        <f t="shared" ref="G191:P191" si="108">IF(G183=Arid,0,_xlfn.XLOOKUP(G190,Plant_and_seed_apply_plant_names_CS,Plant_and_seed_apply_plant_rates_CS))</f>
        <v>539.45026666666672</v>
      </c>
      <c r="H191" s="54">
        <f t="shared" si="108"/>
        <v>265.67200000000003</v>
      </c>
      <c r="I191" s="54">
        <f t="shared" si="108"/>
        <v>539.45026666666672</v>
      </c>
      <c r="J191" s="54">
        <f t="shared" si="108"/>
        <v>265.67200000000003</v>
      </c>
      <c r="K191" s="54">
        <f t="shared" si="108"/>
        <v>218.42099999999999</v>
      </c>
      <c r="L191" s="54">
        <f t="shared" si="108"/>
        <v>634.21050000000002</v>
      </c>
      <c r="M191" s="54">
        <f t="shared" si="108"/>
        <v>3960</v>
      </c>
      <c r="N191" s="54">
        <f t="shared" si="108"/>
        <v>3960</v>
      </c>
      <c r="O191" s="54">
        <f t="shared" si="108"/>
        <v>46000</v>
      </c>
      <c r="P191" s="54">
        <f t="shared" si="108"/>
        <v>46000</v>
      </c>
      <c r="Q191" s="502"/>
      <c r="R191" s="49"/>
    </row>
    <row r="192" spans="2:18" hidden="1">
      <c r="B192" s="94" t="s">
        <v>533</v>
      </c>
      <c r="C192" s="76"/>
      <c r="D192" s="65"/>
      <c r="E192" s="55" t="s">
        <v>229</v>
      </c>
      <c r="F192" s="28" t="s">
        <v>329</v>
      </c>
      <c r="G192" s="414"/>
      <c r="H192" s="414"/>
      <c r="I192" s="414"/>
      <c r="J192" s="414"/>
      <c r="K192" s="414"/>
      <c r="L192" s="414"/>
      <c r="M192" s="414"/>
      <c r="N192" s="414"/>
      <c r="O192" s="414"/>
      <c r="P192" s="414"/>
      <c r="Q192" s="502"/>
      <c r="R192" s="49"/>
    </row>
    <row r="193" spans="2:18" hidden="1">
      <c r="B193" s="94" t="s">
        <v>533</v>
      </c>
      <c r="C193" s="77"/>
      <c r="D193" s="69"/>
      <c r="E193" s="49" t="s">
        <v>146</v>
      </c>
      <c r="F193" s="28" t="s">
        <v>207</v>
      </c>
      <c r="G193" s="79">
        <f>G$182*IF(G192="",G191,G192)</f>
        <v>0</v>
      </c>
      <c r="H193" s="79">
        <f t="shared" ref="H193:P193" si="109">H$182*IF(H192="",H191,H192)</f>
        <v>0</v>
      </c>
      <c r="I193" s="79">
        <f t="shared" si="109"/>
        <v>0</v>
      </c>
      <c r="J193" s="79">
        <f t="shared" si="109"/>
        <v>0</v>
      </c>
      <c r="K193" s="79">
        <f t="shared" si="109"/>
        <v>0</v>
      </c>
      <c r="L193" s="79">
        <f t="shared" si="109"/>
        <v>0</v>
      </c>
      <c r="M193" s="79">
        <f t="shared" si="109"/>
        <v>0</v>
      </c>
      <c r="N193" s="79">
        <f t="shared" si="109"/>
        <v>0</v>
      </c>
      <c r="O193" s="79">
        <f t="shared" si="109"/>
        <v>0</v>
      </c>
      <c r="P193" s="79">
        <f t="shared" si="109"/>
        <v>0</v>
      </c>
      <c r="Q193" s="502"/>
      <c r="R193" s="49"/>
    </row>
    <row r="194" spans="2:18" ht="56.25" hidden="1">
      <c r="B194" s="94" t="s">
        <v>533</v>
      </c>
      <c r="C194" s="75" t="s">
        <v>367</v>
      </c>
      <c r="D194" s="68" t="s">
        <v>345</v>
      </c>
      <c r="E194" s="49" t="s">
        <v>357</v>
      </c>
      <c r="F194" s="28" t="s">
        <v>123</v>
      </c>
      <c r="G194" s="412" t="s">
        <v>368</v>
      </c>
      <c r="H194" s="412" t="s">
        <v>369</v>
      </c>
      <c r="I194" s="412" t="s">
        <v>370</v>
      </c>
      <c r="J194" s="412" t="s">
        <v>371</v>
      </c>
      <c r="K194" s="412" t="s">
        <v>372</v>
      </c>
      <c r="L194" s="412" t="s">
        <v>373</v>
      </c>
      <c r="M194" s="412" t="s">
        <v>666</v>
      </c>
      <c r="N194" s="412" t="s">
        <v>667</v>
      </c>
      <c r="O194" s="412" t="s">
        <v>374</v>
      </c>
      <c r="P194" s="412" t="s">
        <v>375</v>
      </c>
      <c r="Q194" s="502"/>
      <c r="R194" s="49"/>
    </row>
    <row r="195" spans="2:18" hidden="1">
      <c r="B195" s="94" t="s">
        <v>533</v>
      </c>
      <c r="C195" s="76"/>
      <c r="D195" s="65"/>
      <c r="E195" s="49" t="s">
        <v>227</v>
      </c>
      <c r="F195" s="28" t="s">
        <v>299</v>
      </c>
      <c r="G195" s="54">
        <f t="shared" ref="G195:P195" si="110">IF(G183=Arid,0,_xlfn.XLOOKUP(G194,Plant_and_seed_fertiliser_buy_names_CS,Plant_and_seed_fertiliser_buy_rates_CS))</f>
        <v>337.65264299999996</v>
      </c>
      <c r="H195" s="54">
        <f t="shared" si="110"/>
        <v>337.65264299999996</v>
      </c>
      <c r="I195" s="54">
        <f t="shared" si="110"/>
        <v>50</v>
      </c>
      <c r="J195" s="54">
        <f t="shared" si="110"/>
        <v>50</v>
      </c>
      <c r="K195" s="54">
        <f t="shared" si="110"/>
        <v>50</v>
      </c>
      <c r="L195" s="54">
        <f t="shared" si="110"/>
        <v>50</v>
      </c>
      <c r="M195" s="54">
        <f t="shared" si="110"/>
        <v>365.79036324999993</v>
      </c>
      <c r="N195" s="54">
        <f t="shared" si="110"/>
        <v>162.5</v>
      </c>
      <c r="O195" s="54">
        <f t="shared" si="110"/>
        <v>365.79036324999993</v>
      </c>
      <c r="P195" s="54">
        <f t="shared" si="110"/>
        <v>365.79036324999993</v>
      </c>
      <c r="Q195" s="502"/>
      <c r="R195" s="49"/>
    </row>
    <row r="196" spans="2:18" hidden="1">
      <c r="B196" s="94" t="s">
        <v>533</v>
      </c>
      <c r="C196" s="76"/>
      <c r="D196" s="65"/>
      <c r="E196" s="55" t="s">
        <v>229</v>
      </c>
      <c r="F196" s="28" t="s">
        <v>329</v>
      </c>
      <c r="G196" s="414"/>
      <c r="H196" s="414"/>
      <c r="I196" s="414"/>
      <c r="J196" s="414"/>
      <c r="K196" s="414"/>
      <c r="L196" s="414"/>
      <c r="M196" s="414"/>
      <c r="N196" s="414"/>
      <c r="O196" s="414"/>
      <c r="P196" s="414"/>
      <c r="Q196" s="502"/>
      <c r="R196" s="49"/>
    </row>
    <row r="197" spans="2:18" hidden="1">
      <c r="B197" s="94" t="s">
        <v>533</v>
      </c>
      <c r="C197" s="77"/>
      <c r="D197" s="69"/>
      <c r="E197" s="49" t="s">
        <v>146</v>
      </c>
      <c r="F197" s="28" t="s">
        <v>207</v>
      </c>
      <c r="G197" s="79">
        <f>G$182*IF(G196="",G195,G196)</f>
        <v>0</v>
      </c>
      <c r="H197" s="79">
        <f t="shared" ref="H197" si="111">H$182*IF(H196="",H195,H196)</f>
        <v>0</v>
      </c>
      <c r="I197" s="79">
        <f t="shared" ref="I197" si="112">I$182*IF(I196="",I195,I196)</f>
        <v>0</v>
      </c>
      <c r="J197" s="79">
        <f t="shared" ref="J197" si="113">J$182*IF(J196="",J195,J196)</f>
        <v>0</v>
      </c>
      <c r="K197" s="79">
        <f t="shared" ref="K197" si="114">K$182*IF(K196="",K195,K196)</f>
        <v>0</v>
      </c>
      <c r="L197" s="79">
        <f t="shared" ref="L197" si="115">L$182*IF(L196="",L195,L196)</f>
        <v>0</v>
      </c>
      <c r="M197" s="79">
        <f t="shared" ref="M197" si="116">M$182*IF(M196="",M195,M196)</f>
        <v>0</v>
      </c>
      <c r="N197" s="79">
        <f t="shared" ref="N197" si="117">N$182*IF(N196="",N195,N196)</f>
        <v>0</v>
      </c>
      <c r="O197" s="79">
        <f t="shared" ref="O197" si="118">O$182*IF(O196="",O195,O196)</f>
        <v>0</v>
      </c>
      <c r="P197" s="79">
        <f t="shared" ref="P197" si="119">P$182*IF(P196="",P195,P196)</f>
        <v>0</v>
      </c>
      <c r="Q197" s="502"/>
      <c r="R197" s="49"/>
    </row>
    <row r="198" spans="2:18" ht="56.25" hidden="1">
      <c r="B198" s="94" t="s">
        <v>533</v>
      </c>
      <c r="C198" s="75" t="s">
        <v>376</v>
      </c>
      <c r="D198" s="68" t="s">
        <v>345</v>
      </c>
      <c r="E198" s="49" t="s">
        <v>357</v>
      </c>
      <c r="F198" s="28" t="s">
        <v>123</v>
      </c>
      <c r="G198" s="412" t="s">
        <v>377</v>
      </c>
      <c r="H198" s="412" t="s">
        <v>378</v>
      </c>
      <c r="I198" s="412" t="s">
        <v>379</v>
      </c>
      <c r="J198" s="412" t="s">
        <v>380</v>
      </c>
      <c r="K198" s="412" t="s">
        <v>381</v>
      </c>
      <c r="L198" s="412" t="s">
        <v>382</v>
      </c>
      <c r="M198" s="412" t="s">
        <v>668</v>
      </c>
      <c r="N198" s="412" t="s">
        <v>669</v>
      </c>
      <c r="O198" s="412" t="s">
        <v>383</v>
      </c>
      <c r="P198" s="412" t="s">
        <v>384</v>
      </c>
      <c r="Q198" s="502"/>
      <c r="R198" s="49"/>
    </row>
    <row r="199" spans="2:18" hidden="1">
      <c r="B199" s="94" t="s">
        <v>533</v>
      </c>
      <c r="C199" s="76"/>
      <c r="D199" s="65"/>
      <c r="E199" s="49" t="s">
        <v>227</v>
      </c>
      <c r="F199" s="28" t="s">
        <v>299</v>
      </c>
      <c r="G199" s="54">
        <f t="shared" ref="G199:P199" si="120">IF(G183=Arid,0,_xlfn.XLOOKUP(G198,Plant_and_seed_apply_fertiliser_names_CS,Plant_and_seed_fertiliser_apply_rates_CS))</f>
        <v>151.0736</v>
      </c>
      <c r="H199" s="54">
        <f t="shared" si="120"/>
        <v>39.473333333333336</v>
      </c>
      <c r="I199" s="54">
        <f t="shared" si="120"/>
        <v>151.0736</v>
      </c>
      <c r="J199" s="54">
        <f t="shared" si="120"/>
        <v>39.473333333333336</v>
      </c>
      <c r="K199" s="54">
        <f t="shared" si="120"/>
        <v>9.4736000000000011</v>
      </c>
      <c r="L199" s="54">
        <f t="shared" si="120"/>
        <v>9.4736000000000011</v>
      </c>
      <c r="M199" s="54">
        <f t="shared" si="120"/>
        <v>0</v>
      </c>
      <c r="N199" s="54">
        <f t="shared" si="120"/>
        <v>0</v>
      </c>
      <c r="O199" s="54">
        <f t="shared" si="120"/>
        <v>0</v>
      </c>
      <c r="P199" s="54">
        <f t="shared" si="120"/>
        <v>0</v>
      </c>
      <c r="Q199" s="502"/>
      <c r="R199" s="49"/>
    </row>
    <row r="200" spans="2:18" hidden="1">
      <c r="B200" s="94" t="s">
        <v>533</v>
      </c>
      <c r="C200" s="76"/>
      <c r="D200" s="65"/>
      <c r="E200" s="55" t="s">
        <v>229</v>
      </c>
      <c r="F200" s="28" t="s">
        <v>329</v>
      </c>
      <c r="G200" s="414"/>
      <c r="H200" s="414"/>
      <c r="I200" s="414"/>
      <c r="J200" s="414"/>
      <c r="K200" s="414"/>
      <c r="L200" s="414"/>
      <c r="M200" s="414"/>
      <c r="N200" s="414"/>
      <c r="O200" s="414"/>
      <c r="P200" s="414"/>
      <c r="Q200" s="502"/>
      <c r="R200" s="49"/>
    </row>
    <row r="201" spans="2:18" hidden="1">
      <c r="B201" s="94" t="s">
        <v>533</v>
      </c>
      <c r="C201" s="77"/>
      <c r="D201" s="69"/>
      <c r="E201" s="49" t="s">
        <v>146</v>
      </c>
      <c r="F201" s="28" t="s">
        <v>207</v>
      </c>
      <c r="G201" s="79">
        <f>G$182*IF(G200="",G199,G200)</f>
        <v>0</v>
      </c>
      <c r="H201" s="79">
        <f t="shared" ref="H201" si="121">H$182*IF(H200="",H199,H200)</f>
        <v>0</v>
      </c>
      <c r="I201" s="79">
        <f t="shared" ref="I201" si="122">I$182*IF(I200="",I199,I200)</f>
        <v>0</v>
      </c>
      <c r="J201" s="79">
        <f t="shared" ref="J201" si="123">J$182*IF(J200="",J199,J200)</f>
        <v>0</v>
      </c>
      <c r="K201" s="79">
        <f t="shared" ref="K201" si="124">K$182*IF(K200="",K199,K200)</f>
        <v>0</v>
      </c>
      <c r="L201" s="79">
        <f t="shared" ref="L201" si="125">L$182*IF(L200="",L199,L200)</f>
        <v>0</v>
      </c>
      <c r="M201" s="79">
        <f t="shared" ref="M201" si="126">M$182*IF(M200="",M199,M200)</f>
        <v>0</v>
      </c>
      <c r="N201" s="79">
        <f t="shared" ref="N201" si="127">N$182*IF(N200="",N199,N200)</f>
        <v>0</v>
      </c>
      <c r="O201" s="79">
        <f t="shared" ref="O201" si="128">O$182*IF(O200="",O199,O200)</f>
        <v>0</v>
      </c>
      <c r="P201" s="79">
        <f t="shared" ref="P201" si="129">P$182*IF(P200="",P199,P200)</f>
        <v>0</v>
      </c>
      <c r="Q201" s="502"/>
      <c r="R201" s="49"/>
    </row>
    <row r="202" spans="2:18" ht="45" hidden="1">
      <c r="B202" s="94" t="s">
        <v>533</v>
      </c>
      <c r="C202" s="75" t="s">
        <v>386</v>
      </c>
      <c r="D202" s="68" t="s">
        <v>345</v>
      </c>
      <c r="E202" s="49" t="s">
        <v>357</v>
      </c>
      <c r="F202" s="28" t="s">
        <v>123</v>
      </c>
      <c r="G202" s="412" t="s">
        <v>387</v>
      </c>
      <c r="H202" s="412" t="s">
        <v>388</v>
      </c>
      <c r="I202" s="412" t="s">
        <v>389</v>
      </c>
      <c r="J202" s="412" t="s">
        <v>390</v>
      </c>
      <c r="K202" s="412" t="s">
        <v>391</v>
      </c>
      <c r="L202" s="412" t="s">
        <v>392</v>
      </c>
      <c r="M202" s="412" t="s">
        <v>827</v>
      </c>
      <c r="N202" s="412" t="s">
        <v>670</v>
      </c>
      <c r="O202" s="412" t="s">
        <v>393</v>
      </c>
      <c r="P202" s="412" t="s">
        <v>394</v>
      </c>
      <c r="Q202" s="502"/>
      <c r="R202" s="49"/>
    </row>
    <row r="203" spans="2:18" hidden="1">
      <c r="B203" s="94" t="s">
        <v>533</v>
      </c>
      <c r="C203" s="76"/>
      <c r="D203" s="65"/>
      <c r="E203" s="49" t="s">
        <v>227</v>
      </c>
      <c r="F203" s="28" t="s">
        <v>299</v>
      </c>
      <c r="G203" s="54">
        <f t="shared" ref="G203:P203" si="130">IF(G183=Arid,0,_xlfn.XLOOKUP(G202,Plant_and_seed_buy_water_names_CS,Plant_and_seed_water_buy_rates_CS))</f>
        <v>1200</v>
      </c>
      <c r="H203" s="54">
        <f t="shared" si="130"/>
        <v>1200</v>
      </c>
      <c r="I203" s="54">
        <f t="shared" si="130"/>
        <v>1200</v>
      </c>
      <c r="J203" s="54">
        <f t="shared" si="130"/>
        <v>1200</v>
      </c>
      <c r="K203" s="54">
        <f t="shared" si="130"/>
        <v>100</v>
      </c>
      <c r="L203" s="54">
        <f t="shared" si="130"/>
        <v>100</v>
      </c>
      <c r="M203" s="54">
        <f t="shared" si="130"/>
        <v>600</v>
      </c>
      <c r="N203" s="54">
        <f t="shared" si="130"/>
        <v>600</v>
      </c>
      <c r="O203" s="54">
        <f t="shared" si="130"/>
        <v>600</v>
      </c>
      <c r="P203" s="54">
        <f t="shared" si="130"/>
        <v>1200</v>
      </c>
      <c r="Q203" s="502"/>
      <c r="R203" s="49"/>
    </row>
    <row r="204" spans="2:18" hidden="1">
      <c r="B204" s="94" t="s">
        <v>533</v>
      </c>
      <c r="C204" s="76"/>
      <c r="D204" s="65"/>
      <c r="E204" s="55" t="s">
        <v>229</v>
      </c>
      <c r="F204" s="28" t="s">
        <v>329</v>
      </c>
      <c r="G204" s="414"/>
      <c r="H204" s="414"/>
      <c r="I204" s="414"/>
      <c r="J204" s="414"/>
      <c r="K204" s="414"/>
      <c r="L204" s="414"/>
      <c r="M204" s="414"/>
      <c r="N204" s="414"/>
      <c r="O204" s="414"/>
      <c r="P204" s="414"/>
      <c r="Q204" s="502"/>
      <c r="R204" s="49"/>
    </row>
    <row r="205" spans="2:18" hidden="1">
      <c r="B205" s="94" t="s">
        <v>533</v>
      </c>
      <c r="C205" s="77"/>
      <c r="D205" s="69"/>
      <c r="E205" s="49" t="s">
        <v>146</v>
      </c>
      <c r="F205" s="28" t="s">
        <v>207</v>
      </c>
      <c r="G205" s="79">
        <f>G$182*IF(G204="",G203,G204)</f>
        <v>0</v>
      </c>
      <c r="H205" s="79">
        <f t="shared" ref="H205" si="131">H$182*IF(H204="",H203,H204)</f>
        <v>0</v>
      </c>
      <c r="I205" s="79">
        <f t="shared" ref="I205" si="132">I$182*IF(I204="",I203,I204)</f>
        <v>0</v>
      </c>
      <c r="J205" s="79">
        <f t="shared" ref="J205" si="133">J$182*IF(J204="",J203,J204)</f>
        <v>0</v>
      </c>
      <c r="K205" s="79">
        <f t="shared" ref="K205" si="134">K$182*IF(K204="",K203,K204)</f>
        <v>0</v>
      </c>
      <c r="L205" s="79">
        <f t="shared" ref="L205" si="135">L$182*IF(L204="",L203,L204)</f>
        <v>0</v>
      </c>
      <c r="M205" s="79">
        <f t="shared" ref="M205" si="136">M$182*IF(M204="",M203,M204)</f>
        <v>0</v>
      </c>
      <c r="N205" s="79">
        <f t="shared" ref="N205" si="137">N$182*IF(N204="",N203,N204)</f>
        <v>0</v>
      </c>
      <c r="O205" s="79">
        <f t="shared" ref="O205" si="138">O$182*IF(O204="",O203,O204)</f>
        <v>0</v>
      </c>
      <c r="P205" s="79">
        <f t="shared" ref="P205" si="139">P$182*IF(P204="",P203,P204)</f>
        <v>0</v>
      </c>
      <c r="Q205" s="502"/>
      <c r="R205" s="49"/>
    </row>
    <row r="206" spans="2:18" ht="56.25" hidden="1">
      <c r="B206" s="94" t="s">
        <v>533</v>
      </c>
      <c r="C206" s="75" t="s">
        <v>396</v>
      </c>
      <c r="D206" s="68" t="s">
        <v>345</v>
      </c>
      <c r="E206" s="49" t="s">
        <v>357</v>
      </c>
      <c r="F206" s="28" t="s">
        <v>123</v>
      </c>
      <c r="G206" s="412" t="s">
        <v>397</v>
      </c>
      <c r="H206" s="412" t="s">
        <v>398</v>
      </c>
      <c r="I206" s="412" t="s">
        <v>399</v>
      </c>
      <c r="J206" s="412" t="s">
        <v>400</v>
      </c>
      <c r="K206" s="412" t="s">
        <v>401</v>
      </c>
      <c r="L206" s="412" t="s">
        <v>402</v>
      </c>
      <c r="M206" s="412" t="s">
        <v>671</v>
      </c>
      <c r="N206" s="412" t="s">
        <v>672</v>
      </c>
      <c r="O206" s="412" t="s">
        <v>403</v>
      </c>
      <c r="P206" s="412" t="s">
        <v>404</v>
      </c>
      <c r="Q206" s="502"/>
      <c r="R206" s="49"/>
    </row>
    <row r="207" spans="2:18" hidden="1">
      <c r="B207" s="94" t="s">
        <v>533</v>
      </c>
      <c r="C207" s="76"/>
      <c r="D207" s="65"/>
      <c r="E207" s="49" t="s">
        <v>227</v>
      </c>
      <c r="F207" s="28" t="s">
        <v>299</v>
      </c>
      <c r="G207" s="54">
        <f t="shared" ref="G207:P207" si="140">IF(G183=Arid,0,_xlfn.XLOOKUP(G206,Plant_and_seed_apply_water_names_CS,Plant_and_seed_apply_water_rates_CS))</f>
        <v>167.66666666666666</v>
      </c>
      <c r="H207" s="54">
        <f t="shared" si="140"/>
        <v>167.66666666666666</v>
      </c>
      <c r="I207" s="54">
        <f t="shared" si="140"/>
        <v>167.66666666666666</v>
      </c>
      <c r="J207" s="54">
        <f t="shared" si="140"/>
        <v>167.66666666666666</v>
      </c>
      <c r="K207" s="54">
        <f t="shared" si="140"/>
        <v>167.66666666666666</v>
      </c>
      <c r="L207" s="54">
        <f t="shared" si="140"/>
        <v>167.66666666666666</v>
      </c>
      <c r="M207" s="54">
        <f t="shared" si="140"/>
        <v>188.625</v>
      </c>
      <c r="N207" s="54">
        <f t="shared" si="140"/>
        <v>188.625</v>
      </c>
      <c r="O207" s="54">
        <f t="shared" si="140"/>
        <v>18.862500000000001</v>
      </c>
      <c r="P207" s="54">
        <f t="shared" si="140"/>
        <v>18.862500000000001</v>
      </c>
      <c r="Q207" s="502"/>
      <c r="R207" s="49"/>
    </row>
    <row r="208" spans="2:18" hidden="1">
      <c r="B208" s="94" t="s">
        <v>533</v>
      </c>
      <c r="C208" s="76"/>
      <c r="D208" s="65"/>
      <c r="E208" s="55" t="s">
        <v>229</v>
      </c>
      <c r="F208" s="28" t="s">
        <v>329</v>
      </c>
      <c r="G208" s="414"/>
      <c r="H208" s="414"/>
      <c r="I208" s="414"/>
      <c r="J208" s="414"/>
      <c r="K208" s="414"/>
      <c r="L208" s="414"/>
      <c r="M208" s="414"/>
      <c r="N208" s="414"/>
      <c r="O208" s="414"/>
      <c r="P208" s="414"/>
      <c r="Q208" s="502"/>
      <c r="R208" s="49"/>
    </row>
    <row r="209" spans="2:18" hidden="1">
      <c r="B209" s="94" t="s">
        <v>533</v>
      </c>
      <c r="C209" s="77"/>
      <c r="D209" s="69"/>
      <c r="E209" s="49" t="s">
        <v>146</v>
      </c>
      <c r="F209" s="28" t="s">
        <v>207</v>
      </c>
      <c r="G209" s="79">
        <f>G$182*IF(G208="",G207,G208)</f>
        <v>0</v>
      </c>
      <c r="H209" s="79">
        <f t="shared" ref="H209" si="141">H$182*IF(H208="",H207,H208)</f>
        <v>0</v>
      </c>
      <c r="I209" s="79">
        <f t="shared" ref="I209" si="142">I$182*IF(I208="",I207,I208)</f>
        <v>0</v>
      </c>
      <c r="J209" s="79">
        <f t="shared" ref="J209" si="143">J$182*IF(J208="",J207,J208)</f>
        <v>0</v>
      </c>
      <c r="K209" s="79">
        <f t="shared" ref="K209" si="144">K$182*IF(K208="",K207,K208)</f>
        <v>0</v>
      </c>
      <c r="L209" s="79">
        <f t="shared" ref="L209" si="145">L$182*IF(L208="",L207,L208)</f>
        <v>0</v>
      </c>
      <c r="M209" s="79">
        <f t="shared" ref="M209" si="146">M$182*IF(M208="",M207,M208)</f>
        <v>0</v>
      </c>
      <c r="N209" s="79">
        <f t="shared" ref="N209" si="147">N$182*IF(N208="",N207,N208)</f>
        <v>0</v>
      </c>
      <c r="O209" s="79">
        <f t="shared" ref="O209" si="148">O$182*IF(O208="",O207,O208)</f>
        <v>0</v>
      </c>
      <c r="P209" s="79">
        <f t="shared" ref="P209" si="149">P$182*IF(P208="",P207,P208)</f>
        <v>0</v>
      </c>
      <c r="Q209" s="502"/>
      <c r="R209" s="49"/>
    </row>
    <row r="210" spans="2:18" ht="12" hidden="1" thickBot="1">
      <c r="B210" s="94" t="s">
        <v>533</v>
      </c>
      <c r="C210" s="158"/>
      <c r="D210" s="66"/>
      <c r="E210" s="67" t="str">
        <f>C176</f>
        <v>Revegetation</v>
      </c>
      <c r="F210" s="72"/>
      <c r="G210" s="152">
        <f>G189+G193+G197+G201+G205+G209</f>
        <v>0</v>
      </c>
      <c r="H210" s="152">
        <f t="shared" ref="H210:P210" si="150">H189+H193+H197+H201+H205+H209</f>
        <v>0</v>
      </c>
      <c r="I210" s="152">
        <f t="shared" si="150"/>
        <v>0</v>
      </c>
      <c r="J210" s="152">
        <f t="shared" si="150"/>
        <v>0</v>
      </c>
      <c r="K210" s="152">
        <f t="shared" si="150"/>
        <v>0</v>
      </c>
      <c r="L210" s="152">
        <f t="shared" si="150"/>
        <v>0</v>
      </c>
      <c r="M210" s="152">
        <f t="shared" si="150"/>
        <v>0</v>
      </c>
      <c r="N210" s="152">
        <f t="shared" si="150"/>
        <v>0</v>
      </c>
      <c r="O210" s="152">
        <f t="shared" si="150"/>
        <v>0</v>
      </c>
      <c r="P210" s="152">
        <f t="shared" si="150"/>
        <v>0</v>
      </c>
      <c r="Q210" s="502"/>
      <c r="R210" s="49"/>
    </row>
    <row r="211" spans="2:18" hidden="1">
      <c r="B211" s="94" t="s">
        <v>533</v>
      </c>
      <c r="C211" s="159" t="s">
        <v>1160</v>
      </c>
      <c r="D211" s="51" t="s">
        <v>674</v>
      </c>
      <c r="E211" s="27" t="s">
        <v>355</v>
      </c>
      <c r="F211" s="28" t="s">
        <v>199</v>
      </c>
      <c r="G211" s="471"/>
      <c r="H211" s="471"/>
      <c r="I211" s="471"/>
      <c r="J211" s="471"/>
      <c r="K211" s="471"/>
      <c r="L211" s="471"/>
      <c r="M211" s="471"/>
      <c r="N211" s="471"/>
      <c r="O211" s="471"/>
      <c r="P211" s="471"/>
      <c r="Q211" s="502"/>
      <c r="R211" s="49"/>
    </row>
    <row r="212" spans="2:18" hidden="1">
      <c r="B212" s="94" t="s">
        <v>533</v>
      </c>
      <c r="C212" s="52"/>
      <c r="D212" s="53"/>
      <c r="E212" s="27" t="s">
        <v>213</v>
      </c>
      <c r="F212" s="28" t="s">
        <v>613</v>
      </c>
      <c r="G212" s="471"/>
      <c r="H212" s="471">
        <v>250</v>
      </c>
      <c r="I212" s="471">
        <v>250</v>
      </c>
      <c r="J212" s="471">
        <v>250</v>
      </c>
      <c r="K212" s="471">
        <v>250</v>
      </c>
      <c r="L212" s="471">
        <v>250</v>
      </c>
      <c r="M212" s="471">
        <v>250</v>
      </c>
      <c r="N212" s="471">
        <v>250</v>
      </c>
      <c r="O212" s="471">
        <v>250</v>
      </c>
      <c r="P212" s="471">
        <v>250</v>
      </c>
      <c r="Q212" s="502"/>
      <c r="R212" s="49"/>
    </row>
    <row r="213" spans="2:18" hidden="1">
      <c r="B213" s="94" t="s">
        <v>533</v>
      </c>
      <c r="C213" s="52"/>
      <c r="D213" s="53"/>
      <c r="E213" s="27" t="s">
        <v>214</v>
      </c>
      <c r="F213" s="28" t="s">
        <v>215</v>
      </c>
      <c r="G213" s="111">
        <f t="shared" ref="G213:P213" si="151">PI()*(G212/Conv_mm_in_metres)^2/4</f>
        <v>0</v>
      </c>
      <c r="H213" s="111">
        <f t="shared" si="151"/>
        <v>4.9087385212340517E-2</v>
      </c>
      <c r="I213" s="111">
        <f t="shared" si="151"/>
        <v>4.9087385212340517E-2</v>
      </c>
      <c r="J213" s="111">
        <f t="shared" si="151"/>
        <v>4.9087385212340517E-2</v>
      </c>
      <c r="K213" s="111">
        <f t="shared" si="151"/>
        <v>4.9087385212340517E-2</v>
      </c>
      <c r="L213" s="111">
        <f t="shared" si="151"/>
        <v>4.9087385212340517E-2</v>
      </c>
      <c r="M213" s="111">
        <f t="shared" si="151"/>
        <v>4.9087385212340517E-2</v>
      </c>
      <c r="N213" s="111">
        <f t="shared" si="151"/>
        <v>4.9087385212340517E-2</v>
      </c>
      <c r="O213" s="111">
        <f t="shared" si="151"/>
        <v>4.9087385212340517E-2</v>
      </c>
      <c r="P213" s="111">
        <f t="shared" si="151"/>
        <v>4.9087385212340517E-2</v>
      </c>
      <c r="Q213" s="502"/>
      <c r="R213" s="49"/>
    </row>
    <row r="214" spans="2:18" hidden="1">
      <c r="B214" s="94" t="s">
        <v>533</v>
      </c>
      <c r="C214" s="52"/>
      <c r="D214" s="53"/>
      <c r="E214" s="27" t="s">
        <v>675</v>
      </c>
      <c r="F214" s="28" t="s">
        <v>211</v>
      </c>
      <c r="G214" s="471">
        <v>300</v>
      </c>
      <c r="H214" s="471">
        <v>300</v>
      </c>
      <c r="I214" s="471">
        <v>300</v>
      </c>
      <c r="J214" s="471">
        <v>300</v>
      </c>
      <c r="K214" s="471">
        <v>300</v>
      </c>
      <c r="L214" s="471">
        <v>300</v>
      </c>
      <c r="M214" s="471">
        <v>300</v>
      </c>
      <c r="N214" s="471">
        <v>300</v>
      </c>
      <c r="O214" s="471">
        <v>300</v>
      </c>
      <c r="P214" s="471">
        <v>300</v>
      </c>
      <c r="Q214" s="502"/>
      <c r="R214" s="49"/>
    </row>
    <row r="215" spans="2:18" hidden="1">
      <c r="B215" s="94" t="s">
        <v>533</v>
      </c>
      <c r="C215" s="52"/>
      <c r="D215" s="53"/>
      <c r="E215" s="27" t="s">
        <v>676</v>
      </c>
      <c r="F215" s="28" t="s">
        <v>223</v>
      </c>
      <c r="G215" s="646">
        <v>0.15</v>
      </c>
      <c r="H215" s="646">
        <v>0.15</v>
      </c>
      <c r="I215" s="646">
        <v>0.15</v>
      </c>
      <c r="J215" s="646">
        <v>0.15</v>
      </c>
      <c r="K215" s="646">
        <v>0.15</v>
      </c>
      <c r="L215" s="646">
        <v>0.15</v>
      </c>
      <c r="M215" s="646">
        <v>0.15</v>
      </c>
      <c r="N215" s="646">
        <v>0.15</v>
      </c>
      <c r="O215" s="646">
        <v>0.15</v>
      </c>
      <c r="P215" s="646">
        <v>0.15</v>
      </c>
      <c r="Q215" s="502"/>
      <c r="R215" s="49"/>
    </row>
    <row r="216" spans="2:18" hidden="1">
      <c r="B216" s="94" t="s">
        <v>533</v>
      </c>
      <c r="C216" s="52"/>
      <c r="D216" s="53"/>
      <c r="E216" s="27" t="s">
        <v>677</v>
      </c>
      <c r="F216" s="28" t="s">
        <v>678</v>
      </c>
      <c r="G216" s="112">
        <f>G213*G214*(1+G215)</f>
        <v>0</v>
      </c>
      <c r="H216" s="112">
        <f t="shared" ref="H216:P216" si="152">H213*H214*(1+H215)</f>
        <v>16.935147898257476</v>
      </c>
      <c r="I216" s="112">
        <f t="shared" si="152"/>
        <v>16.935147898257476</v>
      </c>
      <c r="J216" s="112">
        <f t="shared" si="152"/>
        <v>16.935147898257476</v>
      </c>
      <c r="K216" s="112">
        <f t="shared" si="152"/>
        <v>16.935147898257476</v>
      </c>
      <c r="L216" s="112">
        <f t="shared" si="152"/>
        <v>16.935147898257476</v>
      </c>
      <c r="M216" s="112">
        <f t="shared" si="152"/>
        <v>16.935147898257476</v>
      </c>
      <c r="N216" s="112">
        <f t="shared" si="152"/>
        <v>16.935147898257476</v>
      </c>
      <c r="O216" s="112">
        <f t="shared" si="152"/>
        <v>16.935147898257476</v>
      </c>
      <c r="P216" s="112">
        <f t="shared" si="152"/>
        <v>16.935147898257476</v>
      </c>
      <c r="Q216" s="502"/>
      <c r="R216" s="49"/>
    </row>
    <row r="217" spans="2:18" hidden="1">
      <c r="B217" s="94" t="s">
        <v>533</v>
      </c>
      <c r="C217" s="52"/>
      <c r="D217" s="53"/>
      <c r="E217" s="27" t="s">
        <v>679</v>
      </c>
      <c r="F217" s="28" t="s">
        <v>680</v>
      </c>
      <c r="G217" s="112">
        <f>G216/Productivity!$D$54</f>
        <v>0</v>
      </c>
      <c r="H217" s="112">
        <f>H216/Productivity!$D$54</f>
        <v>8.4675739491287381</v>
      </c>
      <c r="I217" s="112">
        <f>I216/Productivity!$D$54</f>
        <v>8.4675739491287381</v>
      </c>
      <c r="J217" s="112">
        <f>J216/Productivity!$D$54</f>
        <v>8.4675739491287381</v>
      </c>
      <c r="K217" s="112">
        <f>K216/Productivity!$D$54</f>
        <v>8.4675739491287381</v>
      </c>
      <c r="L217" s="112">
        <f>L216/Productivity!$D$54</f>
        <v>8.4675739491287381</v>
      </c>
      <c r="M217" s="112">
        <f>M216/Productivity!$D$54</f>
        <v>8.4675739491287381</v>
      </c>
      <c r="N217" s="112">
        <f>N216/Productivity!$D$54</f>
        <v>8.4675739491287381</v>
      </c>
      <c r="O217" s="112">
        <f>O216/Productivity!$D$54</f>
        <v>8.4675739491287381</v>
      </c>
      <c r="P217" s="112">
        <f>P216/Productivity!$D$54</f>
        <v>8.4675739491287381</v>
      </c>
      <c r="Q217" s="502"/>
      <c r="R217" s="49"/>
    </row>
    <row r="218" spans="2:18" hidden="1">
      <c r="B218" s="94" t="s">
        <v>533</v>
      </c>
      <c r="C218" s="52"/>
      <c r="D218" s="53"/>
      <c r="E218" s="27" t="s">
        <v>681</v>
      </c>
      <c r="F218" s="28" t="s">
        <v>680</v>
      </c>
      <c r="G218" s="70">
        <f>15/60</f>
        <v>0.25</v>
      </c>
      <c r="H218" s="70">
        <f t="shared" ref="H218:P218" si="153">15/60</f>
        <v>0.25</v>
      </c>
      <c r="I218" s="70">
        <f t="shared" si="153"/>
        <v>0.25</v>
      </c>
      <c r="J218" s="70">
        <f t="shared" si="153"/>
        <v>0.25</v>
      </c>
      <c r="K218" s="70">
        <f t="shared" si="153"/>
        <v>0.25</v>
      </c>
      <c r="L218" s="70">
        <f t="shared" si="153"/>
        <v>0.25</v>
      </c>
      <c r="M218" s="70">
        <f t="shared" si="153"/>
        <v>0.25</v>
      </c>
      <c r="N218" s="70">
        <f t="shared" si="153"/>
        <v>0.25</v>
      </c>
      <c r="O218" s="70">
        <f t="shared" si="153"/>
        <v>0.25</v>
      </c>
      <c r="P218" s="70">
        <f t="shared" si="153"/>
        <v>0.25</v>
      </c>
      <c r="Q218" s="502"/>
      <c r="R218" s="49"/>
    </row>
    <row r="219" spans="2:18" hidden="1">
      <c r="B219" s="94" t="s">
        <v>533</v>
      </c>
      <c r="C219" s="52"/>
      <c r="D219" s="53"/>
      <c r="E219" s="27" t="s">
        <v>682</v>
      </c>
      <c r="F219" s="28" t="s">
        <v>680</v>
      </c>
      <c r="G219" s="112">
        <f>G217+G218</f>
        <v>0.25</v>
      </c>
      <c r="H219" s="112">
        <f t="shared" ref="H219:P219" si="154">H217+H218</f>
        <v>8.7175739491287381</v>
      </c>
      <c r="I219" s="112">
        <f t="shared" si="154"/>
        <v>8.7175739491287381</v>
      </c>
      <c r="J219" s="112">
        <f t="shared" si="154"/>
        <v>8.7175739491287381</v>
      </c>
      <c r="K219" s="112">
        <f t="shared" si="154"/>
        <v>8.7175739491287381</v>
      </c>
      <c r="L219" s="112">
        <f t="shared" si="154"/>
        <v>8.7175739491287381</v>
      </c>
      <c r="M219" s="112">
        <f t="shared" si="154"/>
        <v>8.7175739491287381</v>
      </c>
      <c r="N219" s="112">
        <f t="shared" si="154"/>
        <v>8.7175739491287381</v>
      </c>
      <c r="O219" s="112">
        <f t="shared" si="154"/>
        <v>8.7175739491287381</v>
      </c>
      <c r="P219" s="112">
        <f t="shared" si="154"/>
        <v>8.7175739491287381</v>
      </c>
      <c r="Q219" s="502"/>
      <c r="R219" s="49"/>
    </row>
    <row r="220" spans="2:18" hidden="1">
      <c r="B220" s="94" t="s">
        <v>533</v>
      </c>
      <c r="C220" s="52"/>
      <c r="D220" s="53"/>
      <c r="E220" s="27" t="s">
        <v>683</v>
      </c>
      <c r="F220" s="28" t="s">
        <v>684</v>
      </c>
      <c r="G220" s="54">
        <f t="shared" ref="G220:P220" si="155">Blast_Hole_Drill_Rig__rate</f>
        <v>295</v>
      </c>
      <c r="H220" s="54">
        <f t="shared" si="155"/>
        <v>295</v>
      </c>
      <c r="I220" s="54">
        <f t="shared" si="155"/>
        <v>295</v>
      </c>
      <c r="J220" s="54">
        <f t="shared" si="155"/>
        <v>295</v>
      </c>
      <c r="K220" s="54">
        <f t="shared" si="155"/>
        <v>295</v>
      </c>
      <c r="L220" s="54">
        <f t="shared" si="155"/>
        <v>295</v>
      </c>
      <c r="M220" s="54">
        <f t="shared" si="155"/>
        <v>295</v>
      </c>
      <c r="N220" s="54">
        <f t="shared" si="155"/>
        <v>295</v>
      </c>
      <c r="O220" s="54">
        <f t="shared" si="155"/>
        <v>295</v>
      </c>
      <c r="P220" s="54">
        <f t="shared" si="155"/>
        <v>295</v>
      </c>
      <c r="Q220" s="637"/>
      <c r="R220" s="49"/>
    </row>
    <row r="221" spans="2:18" hidden="1">
      <c r="B221" s="94" t="s">
        <v>533</v>
      </c>
      <c r="C221" s="52"/>
      <c r="D221" s="53"/>
      <c r="E221" s="27" t="s">
        <v>685</v>
      </c>
      <c r="F221" s="28" t="s">
        <v>684</v>
      </c>
      <c r="G221" s="414"/>
      <c r="H221" s="414"/>
      <c r="I221" s="414"/>
      <c r="J221" s="414"/>
      <c r="K221" s="414"/>
      <c r="L221" s="414"/>
      <c r="M221" s="414"/>
      <c r="N221" s="414"/>
      <c r="O221" s="414"/>
      <c r="P221" s="472"/>
      <c r="Q221" s="502"/>
      <c r="R221" s="49"/>
    </row>
    <row r="222" spans="2:18" hidden="1">
      <c r="B222" s="94" t="s">
        <v>533</v>
      </c>
      <c r="C222" s="52"/>
      <c r="D222" s="53"/>
      <c r="E222" s="27" t="s">
        <v>686</v>
      </c>
      <c r="F222" s="28" t="s">
        <v>236</v>
      </c>
      <c r="G222" s="153">
        <f>IF(G221="",G220,G221)*G219</f>
        <v>73.75</v>
      </c>
      <c r="H222" s="153">
        <f t="shared" ref="H222:P222" si="156">IF(H221="",H220,H221)*H219</f>
        <v>2571.6843149929778</v>
      </c>
      <c r="I222" s="153">
        <f t="shared" si="156"/>
        <v>2571.6843149929778</v>
      </c>
      <c r="J222" s="153">
        <f t="shared" si="156"/>
        <v>2571.6843149929778</v>
      </c>
      <c r="K222" s="153">
        <f t="shared" si="156"/>
        <v>2571.6843149929778</v>
      </c>
      <c r="L222" s="153">
        <f t="shared" si="156"/>
        <v>2571.6843149929778</v>
      </c>
      <c r="M222" s="153">
        <f t="shared" si="156"/>
        <v>2571.6843149929778</v>
      </c>
      <c r="N222" s="153">
        <f t="shared" si="156"/>
        <v>2571.6843149929778</v>
      </c>
      <c r="O222" s="153">
        <f t="shared" si="156"/>
        <v>2571.6843149929778</v>
      </c>
      <c r="P222" s="153">
        <f t="shared" si="156"/>
        <v>2571.6843149929778</v>
      </c>
      <c r="Q222" s="502"/>
      <c r="R222" s="49"/>
    </row>
    <row r="223" spans="2:18" hidden="1">
      <c r="B223" s="94" t="s">
        <v>533</v>
      </c>
      <c r="C223" s="52"/>
      <c r="D223" s="53"/>
      <c r="E223" s="27" t="s">
        <v>687</v>
      </c>
      <c r="F223" s="28" t="s">
        <v>241</v>
      </c>
      <c r="G223" s="54">
        <f>Rates!$C$78</f>
        <v>100</v>
      </c>
      <c r="H223" s="54">
        <f>Rates!$C$78</f>
        <v>100</v>
      </c>
      <c r="I223" s="54">
        <f>Rates!$C$78</f>
        <v>100</v>
      </c>
      <c r="J223" s="54">
        <f>Rates!$C$78</f>
        <v>100</v>
      </c>
      <c r="K223" s="54">
        <f>Rates!$C$78</f>
        <v>100</v>
      </c>
      <c r="L223" s="54">
        <f>Rates!$C$78</f>
        <v>100</v>
      </c>
      <c r="M223" s="54">
        <f>Rates!$C$78</f>
        <v>100</v>
      </c>
      <c r="N223" s="54">
        <f>Rates!$C$78</f>
        <v>100</v>
      </c>
      <c r="O223" s="54">
        <f>Rates!$C$78</f>
        <v>100</v>
      </c>
      <c r="P223" s="54">
        <f>Rates!$C$78</f>
        <v>100</v>
      </c>
      <c r="Q223" s="637"/>
      <c r="R223" s="49"/>
    </row>
    <row r="224" spans="2:18" hidden="1">
      <c r="B224" s="94" t="s">
        <v>533</v>
      </c>
      <c r="C224" s="52"/>
      <c r="D224" s="53"/>
      <c r="E224" s="27" t="s">
        <v>688</v>
      </c>
      <c r="F224" s="28" t="s">
        <v>241</v>
      </c>
      <c r="G224" s="414"/>
      <c r="H224" s="414"/>
      <c r="I224" s="414"/>
      <c r="J224" s="414"/>
      <c r="K224" s="414"/>
      <c r="L224" s="414"/>
      <c r="M224" s="414"/>
      <c r="N224" s="414"/>
      <c r="O224" s="414"/>
      <c r="P224" s="414"/>
      <c r="Q224" s="502"/>
      <c r="R224" s="49"/>
    </row>
    <row r="225" spans="2:18" hidden="1">
      <c r="B225" s="94" t="s">
        <v>533</v>
      </c>
      <c r="C225" s="52"/>
      <c r="D225" s="53"/>
      <c r="E225" s="27" t="s">
        <v>689</v>
      </c>
      <c r="F225" s="28" t="s">
        <v>236</v>
      </c>
      <c r="G225" s="136">
        <f>IF(G224="",G223,G224)*G216</f>
        <v>0</v>
      </c>
      <c r="H225" s="136">
        <f t="shared" ref="H225:P225" si="157">IF(H224="",H223,H224)*H216</f>
        <v>1693.5147898257476</v>
      </c>
      <c r="I225" s="136">
        <f t="shared" si="157"/>
        <v>1693.5147898257476</v>
      </c>
      <c r="J225" s="136">
        <f t="shared" si="157"/>
        <v>1693.5147898257476</v>
      </c>
      <c r="K225" s="136">
        <f t="shared" si="157"/>
        <v>1693.5147898257476</v>
      </c>
      <c r="L225" s="136">
        <f t="shared" si="157"/>
        <v>1693.5147898257476</v>
      </c>
      <c r="M225" s="136">
        <f t="shared" si="157"/>
        <v>1693.5147898257476</v>
      </c>
      <c r="N225" s="136">
        <f t="shared" si="157"/>
        <v>1693.5147898257476</v>
      </c>
      <c r="O225" s="136">
        <f t="shared" si="157"/>
        <v>1693.5147898257476</v>
      </c>
      <c r="P225" s="136">
        <f t="shared" si="157"/>
        <v>1693.5147898257476</v>
      </c>
      <c r="Q225" s="502"/>
      <c r="R225" s="49"/>
    </row>
    <row r="226" spans="2:18" hidden="1">
      <c r="B226" s="94" t="s">
        <v>533</v>
      </c>
      <c r="C226" s="52"/>
      <c r="D226" s="53"/>
      <c r="E226" s="27" t="s">
        <v>184</v>
      </c>
      <c r="F226" s="28" t="s">
        <v>236</v>
      </c>
      <c r="G226" s="136">
        <f>G225+G222</f>
        <v>73.75</v>
      </c>
      <c r="H226" s="136">
        <f t="shared" ref="H226:P226" si="158">H225+H222</f>
        <v>4265.1991048187256</v>
      </c>
      <c r="I226" s="136">
        <f t="shared" si="158"/>
        <v>4265.1991048187256</v>
      </c>
      <c r="J226" s="136">
        <f t="shared" si="158"/>
        <v>4265.1991048187256</v>
      </c>
      <c r="K226" s="136">
        <f t="shared" si="158"/>
        <v>4265.1991048187256</v>
      </c>
      <c r="L226" s="136">
        <f t="shared" si="158"/>
        <v>4265.1991048187256</v>
      </c>
      <c r="M226" s="136">
        <f t="shared" si="158"/>
        <v>4265.1991048187256</v>
      </c>
      <c r="N226" s="136">
        <f t="shared" si="158"/>
        <v>4265.1991048187256</v>
      </c>
      <c r="O226" s="136">
        <f t="shared" si="158"/>
        <v>4265.1991048187256</v>
      </c>
      <c r="P226" s="136">
        <f t="shared" si="158"/>
        <v>4265.1991048187256</v>
      </c>
      <c r="Q226" s="502"/>
      <c r="R226" s="49"/>
    </row>
    <row r="227" spans="2:18" hidden="1">
      <c r="B227" s="94" t="s">
        <v>533</v>
      </c>
      <c r="C227" s="56"/>
      <c r="D227" s="46"/>
      <c r="E227" s="49" t="s">
        <v>184</v>
      </c>
      <c r="F227" s="28" t="s">
        <v>1161</v>
      </c>
      <c r="G227" s="126">
        <f t="shared" ref="G227:P227" si="159">G226*G211</f>
        <v>0</v>
      </c>
      <c r="H227" s="126">
        <f t="shared" si="159"/>
        <v>0</v>
      </c>
      <c r="I227" s="126">
        <f t="shared" si="159"/>
        <v>0</v>
      </c>
      <c r="J227" s="126">
        <f t="shared" si="159"/>
        <v>0</v>
      </c>
      <c r="K227" s="126">
        <f t="shared" si="159"/>
        <v>0</v>
      </c>
      <c r="L227" s="126">
        <f t="shared" si="159"/>
        <v>0</v>
      </c>
      <c r="M227" s="126">
        <f t="shared" si="159"/>
        <v>0</v>
      </c>
      <c r="N227" s="126">
        <f t="shared" si="159"/>
        <v>0</v>
      </c>
      <c r="O227" s="126">
        <f t="shared" si="159"/>
        <v>0</v>
      </c>
      <c r="P227" s="126">
        <f t="shared" si="159"/>
        <v>0</v>
      </c>
      <c r="Q227" s="502"/>
      <c r="R227" s="49"/>
    </row>
    <row r="228" spans="2:18" ht="12" hidden="1" thickBot="1">
      <c r="B228" s="94" t="s">
        <v>533</v>
      </c>
      <c r="C228" s="158"/>
      <c r="D228" s="66"/>
      <c r="E228" s="67" t="str">
        <f>C211</f>
        <v>Grouting Boreholes</v>
      </c>
      <c r="F228" s="72"/>
      <c r="G228" s="64">
        <f>G227</f>
        <v>0</v>
      </c>
      <c r="H228" s="64">
        <f t="shared" ref="H228:P228" si="160">H227</f>
        <v>0</v>
      </c>
      <c r="I228" s="64">
        <f t="shared" si="160"/>
        <v>0</v>
      </c>
      <c r="J228" s="64">
        <f t="shared" si="160"/>
        <v>0</v>
      </c>
      <c r="K228" s="64">
        <f t="shared" si="160"/>
        <v>0</v>
      </c>
      <c r="L228" s="64">
        <f t="shared" si="160"/>
        <v>0</v>
      </c>
      <c r="M228" s="64">
        <f t="shared" si="160"/>
        <v>0</v>
      </c>
      <c r="N228" s="64">
        <f t="shared" si="160"/>
        <v>0</v>
      </c>
      <c r="O228" s="64">
        <f t="shared" si="160"/>
        <v>0</v>
      </c>
      <c r="P228" s="64">
        <f t="shared" si="160"/>
        <v>0</v>
      </c>
      <c r="Q228" s="502"/>
      <c r="R228" s="49"/>
    </row>
    <row r="229" spans="2:18" hidden="1">
      <c r="B229" s="94" t="s">
        <v>533</v>
      </c>
      <c r="Q229" s="502"/>
      <c r="R229" s="49"/>
    </row>
    <row r="230" spans="2:18">
      <c r="B230" s="94" t="s">
        <v>123</v>
      </c>
      <c r="C230" s="622" t="s">
        <v>1162</v>
      </c>
      <c r="D230" s="632"/>
      <c r="E230" s="632"/>
      <c r="F230" s="633" t="s">
        <v>202</v>
      </c>
      <c r="G230" s="633" t="s">
        <v>204</v>
      </c>
      <c r="H230" s="633" t="s">
        <v>206</v>
      </c>
      <c r="I230" s="633" t="s">
        <v>146</v>
      </c>
      <c r="J230" s="28"/>
      <c r="K230" s="28"/>
      <c r="L230" s="28"/>
      <c r="M230" s="28"/>
      <c r="N230" s="28"/>
      <c r="O230" s="28"/>
      <c r="P230" s="28"/>
      <c r="Q230" s="502"/>
      <c r="R230" s="420"/>
    </row>
    <row r="231" spans="2:18">
      <c r="B231" s="94" t="s">
        <v>123</v>
      </c>
      <c r="C231" s="647" t="s">
        <v>1163</v>
      </c>
      <c r="D231" s="648"/>
      <c r="E231" s="648"/>
      <c r="F231" s="649"/>
      <c r="G231" s="438">
        <f>_xlfn.XLOOKUP(C231,Exploration_mobe_names_CS,Exploration_mobe_rates_CS)</f>
        <v>7000</v>
      </c>
      <c r="H231" s="414"/>
      <c r="I231" s="634">
        <f>F231*IF(H231="",G231,H231)</f>
        <v>0</v>
      </c>
      <c r="J231" s="499" t="s">
        <v>1164</v>
      </c>
      <c r="K231" s="28"/>
      <c r="L231" s="28"/>
      <c r="M231" s="28"/>
      <c r="N231" s="28"/>
      <c r="O231" s="28"/>
      <c r="P231" s="28"/>
      <c r="Q231" s="502"/>
      <c r="R231" s="420"/>
    </row>
    <row r="232" spans="2:18">
      <c r="B232" s="94" t="s">
        <v>123</v>
      </c>
      <c r="C232" s="622" t="s">
        <v>1095</v>
      </c>
      <c r="D232" s="632" t="s">
        <v>1165</v>
      </c>
      <c r="E232" s="632"/>
      <c r="F232" s="635" t="s">
        <v>202</v>
      </c>
      <c r="G232" s="622" t="s">
        <v>353</v>
      </c>
      <c r="H232" s="622" t="s">
        <v>826</v>
      </c>
      <c r="I232" s="622" t="s">
        <v>146</v>
      </c>
      <c r="J232" s="28"/>
      <c r="K232" s="28"/>
      <c r="L232" s="28"/>
      <c r="M232" s="28"/>
      <c r="N232" s="28"/>
      <c r="O232" s="28"/>
      <c r="P232" s="28"/>
      <c r="Q232" s="502"/>
      <c r="R232" s="420"/>
    </row>
    <row r="233" spans="2:18">
      <c r="B233" s="94" t="s">
        <v>123</v>
      </c>
      <c r="C233" s="650"/>
      <c r="D233" s="650"/>
      <c r="E233" s="650"/>
      <c r="F233" s="605"/>
      <c r="G233" s="651"/>
      <c r="H233" s="414"/>
      <c r="I233" s="634">
        <f t="shared" ref="I233:I239" si="161">H233*F233</f>
        <v>0</v>
      </c>
      <c r="J233" s="28"/>
      <c r="K233" s="28"/>
      <c r="L233" s="28"/>
      <c r="M233" s="28"/>
      <c r="N233" s="28"/>
      <c r="O233" s="28"/>
      <c r="P233" s="28"/>
      <c r="Q233" s="502"/>
      <c r="R233" s="420"/>
    </row>
    <row r="234" spans="2:18">
      <c r="B234" s="94" t="s">
        <v>123</v>
      </c>
      <c r="C234" s="650"/>
      <c r="D234" s="650"/>
      <c r="E234" s="650"/>
      <c r="F234" s="605"/>
      <c r="G234" s="651"/>
      <c r="H234" s="414"/>
      <c r="I234" s="634">
        <f t="shared" si="161"/>
        <v>0</v>
      </c>
      <c r="J234" s="28"/>
      <c r="K234" s="28"/>
      <c r="L234" s="28"/>
      <c r="M234" s="28"/>
      <c r="N234" s="28"/>
      <c r="O234" s="28"/>
      <c r="P234" s="28"/>
      <c r="Q234" s="502"/>
      <c r="R234" s="420"/>
    </row>
    <row r="235" spans="2:18">
      <c r="B235" s="94" t="s">
        <v>123</v>
      </c>
      <c r="C235" s="650"/>
      <c r="D235" s="650"/>
      <c r="E235" s="650"/>
      <c r="F235" s="605"/>
      <c r="G235" s="651"/>
      <c r="H235" s="414"/>
      <c r="I235" s="634">
        <f t="shared" si="161"/>
        <v>0</v>
      </c>
      <c r="J235" s="28"/>
      <c r="K235" s="28"/>
      <c r="L235" s="28"/>
      <c r="M235" s="28"/>
      <c r="N235" s="28"/>
      <c r="O235" s="28"/>
      <c r="P235" s="28"/>
      <c r="Q235" s="502"/>
      <c r="R235" s="420"/>
    </row>
    <row r="236" spans="2:18">
      <c r="B236" s="94" t="s">
        <v>123</v>
      </c>
      <c r="C236" s="650"/>
      <c r="D236" s="650"/>
      <c r="E236" s="650"/>
      <c r="F236" s="605"/>
      <c r="G236" s="651"/>
      <c r="H236" s="414"/>
      <c r="I236" s="634">
        <f t="shared" si="161"/>
        <v>0</v>
      </c>
      <c r="J236" s="28"/>
      <c r="K236" s="28"/>
      <c r="L236" s="28"/>
      <c r="M236" s="28"/>
      <c r="N236" s="28"/>
      <c r="O236" s="28"/>
      <c r="P236" s="28"/>
      <c r="Q236" s="502"/>
      <c r="R236" s="420"/>
    </row>
    <row r="237" spans="2:18">
      <c r="B237" s="94" t="s">
        <v>123</v>
      </c>
      <c r="C237" s="650"/>
      <c r="D237" s="650"/>
      <c r="E237" s="650"/>
      <c r="F237" s="605"/>
      <c r="G237" s="651"/>
      <c r="H237" s="414"/>
      <c r="I237" s="634">
        <f t="shared" si="161"/>
        <v>0</v>
      </c>
      <c r="J237" s="28"/>
      <c r="K237" s="28"/>
      <c r="L237" s="28"/>
      <c r="M237" s="28"/>
      <c r="N237" s="28"/>
      <c r="O237" s="28"/>
      <c r="P237" s="28"/>
      <c r="Q237" s="502"/>
      <c r="R237" s="420"/>
    </row>
    <row r="238" spans="2:18">
      <c r="B238" s="94" t="s">
        <v>123</v>
      </c>
      <c r="C238" s="650"/>
      <c r="D238" s="650"/>
      <c r="E238" s="650"/>
      <c r="F238" s="605"/>
      <c r="G238" s="651"/>
      <c r="H238" s="414"/>
      <c r="I238" s="634">
        <f t="shared" si="161"/>
        <v>0</v>
      </c>
      <c r="J238" s="28"/>
      <c r="K238" s="28"/>
      <c r="L238" s="28"/>
      <c r="M238" s="28"/>
      <c r="N238" s="28"/>
      <c r="O238" s="28"/>
      <c r="P238" s="28"/>
      <c r="Q238" s="502"/>
      <c r="R238" s="420"/>
    </row>
    <row r="239" spans="2:18">
      <c r="B239" s="94" t="s">
        <v>123</v>
      </c>
      <c r="C239" s="650"/>
      <c r="D239" s="650"/>
      <c r="E239" s="650"/>
      <c r="F239" s="605"/>
      <c r="G239" s="651"/>
      <c r="H239" s="414"/>
      <c r="I239" s="634">
        <f t="shared" si="161"/>
        <v>0</v>
      </c>
      <c r="J239" s="28"/>
      <c r="K239" s="28"/>
      <c r="L239" s="28"/>
      <c r="M239" s="28"/>
      <c r="N239" s="28"/>
      <c r="O239" s="28"/>
      <c r="P239" s="28"/>
      <c r="Q239" s="502"/>
      <c r="R239" s="420"/>
    </row>
    <row r="240" spans="2:18">
      <c r="B240" s="94" t="s">
        <v>123</v>
      </c>
      <c r="C240" s="551"/>
      <c r="D240" s="551"/>
      <c r="E240" s="551"/>
      <c r="F240" s="551"/>
      <c r="G240" s="552" t="str">
        <f>C232</f>
        <v>Additional Activities</v>
      </c>
      <c r="H240" s="636"/>
      <c r="I240" s="636">
        <f>SUM(I233:I239)</f>
        <v>0</v>
      </c>
      <c r="J240" s="28"/>
      <c r="K240" s="28"/>
      <c r="L240" s="28"/>
      <c r="M240" s="28"/>
      <c r="N240" s="28"/>
      <c r="O240" s="28"/>
      <c r="P240" s="28"/>
      <c r="Q240" s="502"/>
      <c r="R240" s="420"/>
    </row>
    <row r="241" spans="2:2">
      <c r="B241" s="94" t="s">
        <v>123</v>
      </c>
    </row>
  </sheetData>
  <sheetProtection algorithmName="SHA-512" hashValue="U4vzJePy00vx1ccb11SI9j/qlNXdZGLUBHLfvsu++8phaTxogMBvtquBit6qZ5R3c829pE9QDtbAX3CrCrH3Sg==" saltValue="BCatUMYDmJR8nChpP3yllw==" spinCount="100000" sheet="1" objects="1" scenarios="1" autoFilter="0"/>
  <autoFilter ref="B78:B241" xr:uid="{A9109354-2191-4D5D-AA89-B9D50F1D403B}">
    <filterColumn colId="0">
      <filters>
        <filter val="Select"/>
      </filters>
    </filterColumn>
  </autoFilter>
  <phoneticPr fontId="21" type="noConversion"/>
  <conditionalFormatting sqref="G221:O221">
    <cfRule type="notContainsBlanks" dxfId="49" priority="11">
      <formula>LEN(TRIM(G221))&gt;0</formula>
    </cfRule>
  </conditionalFormatting>
  <conditionalFormatting sqref="G16:P16">
    <cfRule type="notContainsBlanks" dxfId="48" priority="43">
      <formula>LEN(TRIM(G16))&gt;0</formula>
    </cfRule>
  </conditionalFormatting>
  <conditionalFormatting sqref="G22:P22">
    <cfRule type="notContainsBlanks" dxfId="47" priority="42">
      <formula>LEN(TRIM(G22))&gt;0</formula>
    </cfRule>
  </conditionalFormatting>
  <conditionalFormatting sqref="G28:P28">
    <cfRule type="notContainsBlanks" dxfId="46" priority="39">
      <formula>LEN(TRIM(G28))&gt;0</formula>
    </cfRule>
  </conditionalFormatting>
  <conditionalFormatting sqref="G35:P35">
    <cfRule type="notContainsBlanks" dxfId="45" priority="38">
      <formula>LEN(TRIM(G35))&gt;0</formula>
    </cfRule>
  </conditionalFormatting>
  <conditionalFormatting sqref="G42:P42">
    <cfRule type="notContainsBlanks" dxfId="44" priority="1">
      <formula>LEN(TRIM(G42))&gt;0</formula>
    </cfRule>
  </conditionalFormatting>
  <conditionalFormatting sqref="G48:P48">
    <cfRule type="notContainsBlanks" dxfId="43" priority="37">
      <formula>LEN(TRIM(G48))&gt;0</formula>
    </cfRule>
  </conditionalFormatting>
  <conditionalFormatting sqref="G51:P51">
    <cfRule type="notContainsBlanks" dxfId="42" priority="36">
      <formula>LEN(TRIM(G51))&gt;0</formula>
    </cfRule>
  </conditionalFormatting>
  <conditionalFormatting sqref="G56:P56">
    <cfRule type="notContainsBlanks" dxfId="41" priority="35">
      <formula>LEN(TRIM(G56))&gt;0</formula>
    </cfRule>
  </conditionalFormatting>
  <conditionalFormatting sqref="G62:P62">
    <cfRule type="notContainsBlanks" dxfId="40" priority="34">
      <formula>LEN(TRIM(G62))&gt;0</formula>
    </cfRule>
  </conditionalFormatting>
  <conditionalFormatting sqref="G68:P68">
    <cfRule type="notContainsBlanks" dxfId="39" priority="33">
      <formula>LEN(TRIM(G68))&gt;0</formula>
    </cfRule>
  </conditionalFormatting>
  <conditionalFormatting sqref="G74:P74">
    <cfRule type="notContainsBlanks" dxfId="38" priority="32">
      <formula>LEN(TRIM(G74))&gt;0</formula>
    </cfRule>
  </conditionalFormatting>
  <conditionalFormatting sqref="G89:P89">
    <cfRule type="notContainsBlanks" dxfId="37" priority="29">
      <formula>LEN(TRIM(G89))&gt;0</formula>
    </cfRule>
  </conditionalFormatting>
  <conditionalFormatting sqref="G93:P93">
    <cfRule type="notContainsBlanks" dxfId="36" priority="27">
      <formula>LEN(TRIM(G93))&gt;0</formula>
    </cfRule>
  </conditionalFormatting>
  <conditionalFormatting sqref="G100:P100">
    <cfRule type="notContainsBlanks" dxfId="35" priority="26">
      <formula>LEN(TRIM(G100))&gt;0</formula>
    </cfRule>
  </conditionalFormatting>
  <conditionalFormatting sqref="G107:P107">
    <cfRule type="notContainsBlanks" dxfId="34" priority="25">
      <formula>LEN(TRIM(G107))&gt;0</formula>
    </cfRule>
  </conditionalFormatting>
  <conditionalFormatting sqref="G119:P119">
    <cfRule type="notContainsBlanks" dxfId="33" priority="24">
      <formula>LEN(TRIM(G119))&gt;0</formula>
    </cfRule>
  </conditionalFormatting>
  <conditionalFormatting sqref="G123:P123">
    <cfRule type="notContainsBlanks" dxfId="32" priority="23">
      <formula>LEN(TRIM(G123))&gt;0</formula>
    </cfRule>
  </conditionalFormatting>
  <conditionalFormatting sqref="G130:P130">
    <cfRule type="notContainsBlanks" dxfId="31" priority="22">
      <formula>LEN(TRIM(G130))&gt;0</formula>
    </cfRule>
  </conditionalFormatting>
  <conditionalFormatting sqref="G137:P137">
    <cfRule type="notContainsBlanks" dxfId="30" priority="21">
      <formula>LEN(TRIM(G137))&gt;0</formula>
    </cfRule>
  </conditionalFormatting>
  <conditionalFormatting sqref="G153:P153">
    <cfRule type="notContainsBlanks" dxfId="29" priority="20">
      <formula>LEN(TRIM(G153))&gt;0</formula>
    </cfRule>
  </conditionalFormatting>
  <conditionalFormatting sqref="G167:P167">
    <cfRule type="notContainsBlanks" dxfId="28" priority="18">
      <formula>LEN(TRIM(G167))&gt;0</formula>
    </cfRule>
  </conditionalFormatting>
  <conditionalFormatting sqref="G172:P172">
    <cfRule type="notContainsBlanks" dxfId="27" priority="19">
      <formula>LEN(TRIM(G172))&gt;0</formula>
    </cfRule>
  </conditionalFormatting>
  <conditionalFormatting sqref="G186:P186">
    <cfRule type="notContainsBlanks" dxfId="26" priority="7">
      <formula>LEN(TRIM(G186))&gt;0</formula>
    </cfRule>
  </conditionalFormatting>
  <conditionalFormatting sqref="G192:P192">
    <cfRule type="notContainsBlanks" dxfId="25" priority="6">
      <formula>LEN(TRIM(G192))&gt;0</formula>
    </cfRule>
  </conditionalFormatting>
  <conditionalFormatting sqref="G196:P196">
    <cfRule type="notContainsBlanks" dxfId="24" priority="5">
      <formula>LEN(TRIM(G196))&gt;0</formula>
    </cfRule>
  </conditionalFormatting>
  <conditionalFormatting sqref="G200:P200">
    <cfRule type="notContainsBlanks" dxfId="23" priority="4">
      <formula>LEN(TRIM(G200))&gt;0</formula>
    </cfRule>
  </conditionalFormatting>
  <conditionalFormatting sqref="G204:P204">
    <cfRule type="notContainsBlanks" dxfId="22" priority="3">
      <formula>LEN(TRIM(G204))&gt;0</formula>
    </cfRule>
  </conditionalFormatting>
  <conditionalFormatting sqref="G208:P208">
    <cfRule type="notContainsBlanks" dxfId="21" priority="2">
      <formula>LEN(TRIM(G208))&gt;0</formula>
    </cfRule>
  </conditionalFormatting>
  <conditionalFormatting sqref="G224:P224">
    <cfRule type="notContainsBlanks" dxfId="20" priority="10">
      <formula>LEN(TRIM(G224))&gt;0</formula>
    </cfRule>
  </conditionalFormatting>
  <conditionalFormatting sqref="H231">
    <cfRule type="notContainsBlanks" dxfId="19" priority="9">
      <formula>LEN(TRIM(H231))&gt;0</formula>
    </cfRule>
  </conditionalFormatting>
  <conditionalFormatting sqref="H233:H239">
    <cfRule type="notContainsBlanks" dxfId="18" priority="8">
      <formula>LEN(TRIM(H233))&gt;0</formula>
    </cfRule>
  </conditionalFormatting>
  <conditionalFormatting sqref="Q78 G79:Q79">
    <cfRule type="containsText" dxfId="17" priority="44" operator="containsText" text="ok">
      <formula>NOT(ISERROR(SEARCH("ok",G78)))</formula>
    </cfRule>
  </conditionalFormatting>
  <dataValidations count="25">
    <dataValidation type="list" allowBlank="1" showInputMessage="1" showErrorMessage="1" sqref="G151:Q151" xr:uid="{CD276A29-F12A-49CB-B647-8CEBDC9453A5}">
      <formula1>Load_haul_soil_names_CS</formula1>
    </dataValidation>
    <dataValidation type="list" allowBlank="1" showInputMessage="1" showErrorMessage="1" sqref="G169:Q169 G44:P44" xr:uid="{A1E5B477-448E-4704-A5CB-9CB657C37648}">
      <formula1>Long_haul_soil_amend_names_volume_CS</formula1>
    </dataValidation>
    <dataValidation type="list" allowBlank="1" showInputMessage="1" showErrorMessage="1" sqref="G163:Q163" xr:uid="{E420BCF8-B39E-418A-8DB3-40C8BFECCCE7}">
      <formula1>Ameliorants_soil_L</formula1>
    </dataValidation>
    <dataValidation type="list" allowBlank="1" showInputMessage="1" showErrorMessage="1" sqref="H128:Q128" xr:uid="{54FFDDC4-C489-4D63-8980-96C710EE5AA0}">
      <formula1>Dozer_push_names__A</formula1>
    </dataValidation>
    <dataValidation type="list" allowBlank="1" showInputMessage="1" showErrorMessage="1" sqref="G135:Q135 G105:Q105" xr:uid="{C6466ECC-FB94-4B98-B4D6-6B921C6022F9}">
      <formula1>Grader_trim_names_CS</formula1>
    </dataValidation>
    <dataValidation type="list" allowBlank="1" showInputMessage="1" showErrorMessage="1" sqref="G98:Q98 G128" xr:uid="{35BDFC7E-4BE3-4BE1-9A33-601DB7351B07}">
      <formula1>Dozer_rip_names_CS</formula1>
    </dataValidation>
    <dataValidation type="list" allowBlank="1" showInputMessage="1" showErrorMessage="1" sqref="G91:Q91 G121:Q121" xr:uid="{7C02879D-68BC-4E4D-8972-563583B4B7B3}">
      <formula1>Grader_rip_names_CS</formula1>
    </dataValidation>
    <dataValidation type="list" allowBlank="1" showInputMessage="1" showErrorMessage="1" sqref="G87:Q87 G117:Q117" xr:uid="{B1DF5F3E-EC0B-4F24-9A57-54EAC0214CED}">
      <formula1>Load_haul_fill_names_CS</formula1>
    </dataValidation>
    <dataValidation type="list" allowBlank="1" showInputMessage="1" showErrorMessage="1" sqref="G83:Q83 G113:Q113" xr:uid="{D51FFA88-B25C-4631-8BCF-A3F470B396C5}">
      <formula1>Surface_cover_list</formula1>
    </dataValidation>
    <dataValidation type="list" allowBlank="1" showInputMessage="1" showErrorMessage="1" sqref="G12:P12" xr:uid="{DE4210B9-8053-4A25-8C37-790CB0844163}">
      <formula1>Dimension_measure</formula1>
    </dataValidation>
    <dataValidation type="list" allowBlank="1" showInputMessage="1" showErrorMessage="1" sqref="G25:P25" xr:uid="{984EB3CC-2DE3-42F3-96F4-62699C221658}">
      <formula1>Exploration_dam_names_CS</formula1>
    </dataValidation>
    <dataValidation type="list" allowBlank="1" showInputMessage="1" showErrorMessage="1" sqref="C231" xr:uid="{DCEE436B-693E-433D-87FC-909E0040D05D}">
      <formula1>Exploration_mobe_names_CS</formula1>
    </dataValidation>
    <dataValidation type="list" allowBlank="1" showInputMessage="1" showErrorMessage="1" sqref="G31:P31" xr:uid="{07684D01-BC1D-4010-990E-D1139D08AEE8}">
      <formula1>Bores_explore_names_CS</formula1>
    </dataValidation>
    <dataValidation type="list" allowBlank="1" showInputMessage="1" showErrorMessage="1" sqref="G71:P71" xr:uid="{0AD0E2F1-48F2-4EB8-AFA4-2BBD2056230E}">
      <formula1>Maintenance_rehab_areas_names_CS</formula1>
    </dataValidation>
    <dataValidation type="list" allowBlank="1" showInputMessage="1" showErrorMessage="1" sqref="G183:Q183" xr:uid="{987FFABA-BD42-476E-84E2-186A49B693AF}">
      <formula1>Plant_and_seed_list_L</formula1>
    </dataValidation>
    <dataValidation type="list" allowBlank="1" showInputMessage="1" showErrorMessage="1" sqref="G190:Q190" xr:uid="{34BE439D-6B2D-418C-B8F4-E966A411E38C}">
      <formula1>Plant_and_seed_apply_plant_names_CS</formula1>
    </dataValidation>
    <dataValidation type="list" allowBlank="1" showInputMessage="1" showErrorMessage="1" sqref="G194:Q194" xr:uid="{3E77115E-25B7-4B30-A875-091EDDEB5A8A}">
      <formula1>Plant_and_seed_fertiliser_buy_names_CS</formula1>
    </dataValidation>
    <dataValidation type="list" allowBlank="1" showInputMessage="1" showErrorMessage="1" sqref="G198:Q198" xr:uid="{357BBC9F-CE36-447A-8A9B-AB7D795E001D}">
      <formula1>Plant_and_seed_apply_fertiliser_names_CS</formula1>
    </dataValidation>
    <dataValidation type="list" allowBlank="1" showInputMessage="1" showErrorMessage="1" sqref="G202:Q202" xr:uid="{127B47C8-E788-479A-AC31-59E806E45EBD}">
      <formula1>Plant_and_seed_buy_water_names_CS</formula1>
    </dataValidation>
    <dataValidation type="list" allowBlank="1" showInputMessage="1" showErrorMessage="1" sqref="G206:Q206" xr:uid="{DAD189FA-3FAA-42B3-B9C2-EF8BCB90AC21}">
      <formula1>Plant_and_seed_apply_water_names_CS</formula1>
    </dataValidation>
    <dataValidation type="list" allowBlank="1" showInputMessage="1" showErrorMessage="1" sqref="G64:P64" xr:uid="{FCE5FDE5-3BE9-4357-8C5B-4975101C092B}">
      <formula1>Contaminated_soil_names_CS</formula1>
    </dataValidation>
    <dataValidation type="list" allowBlank="1" showInputMessage="1" showErrorMessage="1" sqref="G53:P53" xr:uid="{7CB86BB1-E8C3-487F-A180-0193532DBD28}">
      <formula1>Waste_levy_names_R</formula1>
    </dataValidation>
    <dataValidation type="list" allowBlank="1" showInputMessage="1" showErrorMessage="1" sqref="G38:P38" xr:uid="{211D634A-6CBC-4C35-8370-F3B68BA237FA}">
      <formula1>Waste_names_L</formula1>
    </dataValidation>
    <dataValidation type="list" allowBlank="1" showInputMessage="1" showErrorMessage="1" sqref="G11:P11" xr:uid="{295CD252-EF69-4923-8976-84E80754614C}">
      <formula1>Track_names_exploration_CS</formula1>
    </dataValidation>
    <dataValidation type="list" allowBlank="1" showInputMessage="1" showErrorMessage="1" sqref="G19:P19" xr:uid="{25E25B33-C1BC-4BE1-9319-97B50D5CA61A}">
      <formula1>Laydown_names_exploration_CS</formula1>
    </dataValidation>
  </dataValidations>
  <hyperlinks>
    <hyperlink ref="E5" location="RCE_Summary" display="RCE Summary" xr:uid="{3FF495A5-1FCE-457C-BFAB-8A939FB2376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195D3-159B-4B85-A618-59E6A0FEF45E}">
  <sheetPr codeName="Sheet17">
    <tabColor theme="9" tint="-0.249977111117893"/>
  </sheetPr>
  <dimension ref="B2:I106"/>
  <sheetViews>
    <sheetView showGridLines="0" zoomScaleNormal="100" workbookViewId="0">
      <pane xSplit="4" ySplit="7" topLeftCell="E13" activePane="bottomRight" state="frozen"/>
      <selection pane="topRight" activeCell="F1" sqref="F1"/>
      <selection pane="bottomLeft" activeCell="A8" sqref="A8"/>
      <selection pane="bottomRight" activeCell="C30" sqref="C30"/>
    </sheetView>
  </sheetViews>
  <sheetFormatPr defaultColWidth="8.7109375" defaultRowHeight="11.25"/>
  <cols>
    <col min="1" max="1" width="2" style="28" customWidth="1"/>
    <col min="2" max="2" width="94.7109375" style="28" customWidth="1"/>
    <col min="3" max="3" width="12.140625" style="28" customWidth="1"/>
    <col min="4" max="4" width="13" style="28" customWidth="1"/>
    <col min="5" max="6" width="17.42578125" style="28" customWidth="1"/>
    <col min="7" max="7" width="19.5703125" style="28" customWidth="1"/>
    <col min="8" max="9" width="86.7109375" style="28" customWidth="1"/>
    <col min="10" max="16384" width="8.7109375" style="28"/>
  </cols>
  <sheetData>
    <row r="2" spans="2:9" ht="24.95" customHeight="1">
      <c r="B2" s="317" t="str">
        <f>Name_main</f>
        <v>Rehabilitation Cost Estimate Tool - Mining New South Wales</v>
      </c>
    </row>
    <row r="3" spans="2:9" ht="15" customHeight="1" thickBot="1">
      <c r="B3" s="318" t="str">
        <f>CONCATENATE(CompanyName," - ",Mine_Name)</f>
        <v>Boral Cement - Marulan South Limestone Mine</v>
      </c>
      <c r="F3" s="319" t="s">
        <v>182</v>
      </c>
      <c r="G3" s="320">
        <f>Grand_total</f>
        <v>27655414.430474937</v>
      </c>
    </row>
    <row r="4" spans="2:9" ht="15" customHeight="1" thickTop="1">
      <c r="B4" s="318"/>
    </row>
    <row r="5" spans="2:9" ht="15.6" customHeight="1">
      <c r="B5" s="321" t="s">
        <v>1166</v>
      </c>
      <c r="E5" s="393" t="s">
        <v>1</v>
      </c>
      <c r="G5" s="652">
        <f>G16+G25+G31+G36+G41+G51+G73+G82+G92+G106</f>
        <v>1268272.0523422633</v>
      </c>
    </row>
    <row r="6" spans="2:9">
      <c r="B6" s="653"/>
      <c r="C6" s="654"/>
      <c r="D6" s="654"/>
      <c r="E6" s="653"/>
      <c r="F6" s="654"/>
      <c r="G6" s="654"/>
    </row>
    <row r="7" spans="2:9" ht="18.600000000000001" customHeight="1" thickBot="1">
      <c r="B7" s="655" t="s">
        <v>55</v>
      </c>
      <c r="C7" s="635" t="s">
        <v>202</v>
      </c>
      <c r="D7" s="656" t="s">
        <v>1167</v>
      </c>
      <c r="E7" s="656" t="s">
        <v>204</v>
      </c>
      <c r="F7" s="656" t="s">
        <v>206</v>
      </c>
      <c r="G7" s="656" t="s">
        <v>146</v>
      </c>
      <c r="H7" s="327" t="s">
        <v>190</v>
      </c>
      <c r="I7" s="328" t="s">
        <v>191</v>
      </c>
    </row>
    <row r="8" spans="2:9">
      <c r="B8" s="667"/>
      <c r="H8" s="502"/>
      <c r="I8" s="427"/>
    </row>
    <row r="9" spans="2:9" customFormat="1" ht="12.75">
      <c r="B9" s="657" t="s">
        <v>1168</v>
      </c>
      <c r="H9" s="502"/>
      <c r="I9" s="427"/>
    </row>
    <row r="10" spans="2:9">
      <c r="B10" s="420" t="str" cm="1">
        <f t="array" ref="B10:B14">Contaminated_land_studies_CS</f>
        <v>Preliminary Site Investigation</v>
      </c>
      <c r="C10" s="668">
        <v>1</v>
      </c>
      <c r="D10" s="28" t="str" cm="1">
        <f t="array" ref="D10:D14">Contaminated_land_studies_units_CS</f>
        <v>Site</v>
      </c>
      <c r="E10" s="342" cm="1">
        <f t="array" ref="E10:E14">Contaminated_land_studies_rates_CS</f>
        <v>16688.099999999999</v>
      </c>
      <c r="F10" s="673"/>
      <c r="G10" s="658">
        <f t="shared" ref="G10:G15" si="0">IF(F10="",E10,F10)*C10</f>
        <v>16688.099999999999</v>
      </c>
      <c r="H10" s="672"/>
      <c r="I10" s="420"/>
    </row>
    <row r="11" spans="2:9">
      <c r="B11" s="420" t="str">
        <v>Contaminated Land Soil Investigation - Preparation</v>
      </c>
      <c r="C11" s="668"/>
      <c r="D11" s="28" t="str">
        <v>Investigation</v>
      </c>
      <c r="E11" s="342">
        <v>35984.247499999998</v>
      </c>
      <c r="F11" s="414"/>
      <c r="G11" s="658">
        <f t="shared" si="0"/>
        <v>0</v>
      </c>
      <c r="H11" s="502"/>
      <c r="I11" s="420"/>
    </row>
    <row r="12" spans="2:9">
      <c r="B12" s="420" t="str">
        <v>Contaminated Land Soil Investigation - Field Work and Reporting</v>
      </c>
      <c r="C12" s="668"/>
      <c r="D12" s="28" t="str">
        <v>ha</v>
      </c>
      <c r="E12" s="342">
        <v>3647.3318235000002</v>
      </c>
      <c r="F12" s="414"/>
      <c r="G12" s="658">
        <f t="shared" si="0"/>
        <v>0</v>
      </c>
      <c r="H12" s="502"/>
      <c r="I12" s="420"/>
    </row>
    <row r="13" spans="2:9">
      <c r="B13" s="420" t="str">
        <v>Remedial Action Plan (simple)</v>
      </c>
      <c r="C13" s="668"/>
      <c r="D13" s="28" t="str">
        <v>Report</v>
      </c>
      <c r="E13" s="342">
        <v>37631.047500000001</v>
      </c>
      <c r="F13" s="414"/>
      <c r="G13" s="658">
        <f t="shared" si="0"/>
        <v>0</v>
      </c>
      <c r="H13" s="502"/>
      <c r="I13" s="420"/>
    </row>
    <row r="14" spans="2:9">
      <c r="B14" s="420" t="str">
        <v>Remedial Action Plan (compex)</v>
      </c>
      <c r="C14" s="668"/>
      <c r="D14" s="28" t="str">
        <v>Report</v>
      </c>
      <c r="E14" s="342">
        <v>63607.614999999998</v>
      </c>
      <c r="F14" s="414"/>
      <c r="G14" s="658">
        <f t="shared" si="0"/>
        <v>0</v>
      </c>
      <c r="H14" s="502"/>
      <c r="I14" s="420"/>
    </row>
    <row r="15" spans="2:9">
      <c r="B15" s="420" t="s">
        <v>1169</v>
      </c>
      <c r="C15" s="669"/>
      <c r="D15" s="670"/>
      <c r="E15" s="659"/>
      <c r="F15" s="414"/>
      <c r="G15" s="658">
        <f t="shared" si="0"/>
        <v>0</v>
      </c>
      <c r="H15" s="502"/>
      <c r="I15" s="420" t="s">
        <v>1170</v>
      </c>
    </row>
    <row r="16" spans="2:9">
      <c r="B16" s="660" t="str">
        <f>B9</f>
        <v>Contaminated Land Studies</v>
      </c>
      <c r="C16" s="661"/>
      <c r="D16" s="662"/>
      <c r="E16" s="661"/>
      <c r="F16" s="663"/>
      <c r="G16" s="664">
        <f>SUM(G10:G15)</f>
        <v>16688.099999999999</v>
      </c>
      <c r="H16" s="502"/>
      <c r="I16" s="420"/>
    </row>
    <row r="17" spans="2:9" customFormat="1" ht="12.75">
      <c r="B17" s="657" t="s">
        <v>1171</v>
      </c>
      <c r="H17" s="502"/>
      <c r="I17" s="427"/>
    </row>
    <row r="18" spans="2:9">
      <c r="B18" s="420" t="str" cm="1">
        <f t="array" ref="B18:B23">Closure_plans_names_CS</f>
        <v xml:space="preserve">Unplanned Project Closure Plan - SSD Early Planning Stage  </v>
      </c>
      <c r="C18" s="668"/>
      <c r="D18" s="28" t="str" cm="1">
        <f t="array" ref="D18:D23">Closure_plans_unit_CS</f>
        <v>plan</v>
      </c>
      <c r="E18" s="342" cm="1">
        <f t="array" ref="E18:E23">Closure_plans_rates_CS</f>
        <v>323472</v>
      </c>
      <c r="F18" s="673"/>
      <c r="G18" s="658">
        <f t="shared" ref="G18:G24" si="1">IF(F18="",E18,F18)*C18</f>
        <v>0</v>
      </c>
      <c r="H18" s="502"/>
      <c r="I18" s="420"/>
    </row>
    <row r="19" spans="2:9">
      <c r="B19" s="420" t="str">
        <v xml:space="preserve">Unplanned Project Closure Plan - SSD Advanced Planning Stage  </v>
      </c>
      <c r="C19" s="668">
        <v>1</v>
      </c>
      <c r="D19" s="28" t="str">
        <v>plan</v>
      </c>
      <c r="E19" s="342">
        <v>113665.99999999999</v>
      </c>
      <c r="F19" s="414"/>
      <c r="G19" s="658">
        <f t="shared" si="1"/>
        <v>113665.99999999999</v>
      </c>
      <c r="H19" s="502"/>
      <c r="I19" s="420"/>
    </row>
    <row r="20" spans="2:9">
      <c r="B20" s="420" t="str">
        <v>Unplanned Project Closure Plan - Non SSD - Issues</v>
      </c>
      <c r="C20" s="668"/>
      <c r="D20" s="28" t="str">
        <v>plan</v>
      </c>
      <c r="E20" s="342">
        <v>136666</v>
      </c>
      <c r="F20" s="414"/>
      <c r="G20" s="658">
        <f t="shared" si="1"/>
        <v>0</v>
      </c>
      <c r="H20" s="502"/>
      <c r="I20" s="420"/>
    </row>
    <row r="21" spans="2:9">
      <c r="B21" s="420" t="str">
        <v>Unplanned Project Closure Plan - Non SSD - Minor Issues</v>
      </c>
      <c r="C21" s="668"/>
      <c r="D21" s="28" t="str">
        <v>plan</v>
      </c>
      <c r="E21" s="342">
        <v>100785.99999999999</v>
      </c>
      <c r="F21" s="414"/>
      <c r="G21" s="658">
        <f t="shared" si="1"/>
        <v>0</v>
      </c>
      <c r="H21" s="502"/>
      <c r="I21" s="420"/>
    </row>
    <row r="22" spans="2:9">
      <c r="B22" s="420" t="str">
        <v>Unplanned Project Closure Plan - Non SSD - No EPL</v>
      </c>
      <c r="C22" s="668"/>
      <c r="D22" s="28" t="str">
        <v>plan</v>
      </c>
      <c r="E22" s="342">
        <v>16709.5</v>
      </c>
      <c r="F22" s="414"/>
      <c r="G22" s="658">
        <f t="shared" si="1"/>
        <v>0</v>
      </c>
      <c r="H22" s="502"/>
      <c r="I22" s="420"/>
    </row>
    <row r="23" spans="2:9">
      <c r="B23" s="420" t="str">
        <v>Review of Environmental Factors</v>
      </c>
      <c r="C23" s="668"/>
      <c r="D23" s="28" t="str">
        <v>report</v>
      </c>
      <c r="E23" s="342">
        <v>30141.499999999996</v>
      </c>
      <c r="F23" s="414"/>
      <c r="G23" s="658">
        <f t="shared" si="1"/>
        <v>0</v>
      </c>
      <c r="H23" s="502"/>
      <c r="I23" s="420"/>
    </row>
    <row r="24" spans="2:9">
      <c r="B24" s="420" t="s">
        <v>1169</v>
      </c>
      <c r="C24" s="669"/>
      <c r="D24" s="670"/>
      <c r="E24" s="659"/>
      <c r="F24" s="414"/>
      <c r="G24" s="658">
        <f t="shared" si="1"/>
        <v>0</v>
      </c>
      <c r="H24" s="502"/>
      <c r="I24" s="420" t="s">
        <v>1170</v>
      </c>
    </row>
    <row r="25" spans="2:9">
      <c r="B25" s="660" t="str">
        <f>B17</f>
        <v>Closure Plans</v>
      </c>
      <c r="C25" s="661"/>
      <c r="D25" s="662"/>
      <c r="E25" s="661"/>
      <c r="F25" s="663"/>
      <c r="G25" s="664">
        <f>SUM(G18:G24)</f>
        <v>113665.99999999999</v>
      </c>
      <c r="H25" s="502"/>
      <c r="I25" s="420"/>
    </row>
    <row r="26" spans="2:9" customFormat="1" ht="12.75">
      <c r="B26" s="657" t="s">
        <v>1172</v>
      </c>
      <c r="H26" s="502"/>
      <c r="I26" s="427"/>
    </row>
    <row r="27" spans="2:9">
      <c r="B27" s="420" t="str" cm="1">
        <f t="array" ref="B27:B30">HAZMAT_names_CS</f>
        <v>Small HAZMAT</v>
      </c>
      <c r="C27" s="668"/>
      <c r="D27" s="28" t="str" cm="1">
        <f t="array" ref="D27:D30">HAZMAT_units_CS</f>
        <v>project</v>
      </c>
      <c r="E27" s="665" cm="1">
        <f t="array" ref="E27:E30">HAZMAT_rates_CS</f>
        <v>129067.67600000001</v>
      </c>
      <c r="F27" s="673"/>
      <c r="G27" s="658">
        <f>IF(F27="",E27,F27)*C27</f>
        <v>0</v>
      </c>
      <c r="H27" s="502"/>
      <c r="I27" s="420"/>
    </row>
    <row r="28" spans="2:9">
      <c r="B28" s="420" t="str">
        <v>Medium HAZMAT</v>
      </c>
      <c r="C28" s="668"/>
      <c r="D28" s="28" t="str">
        <v>project</v>
      </c>
      <c r="E28" s="342">
        <v>420699.89500000002</v>
      </c>
      <c r="F28" s="414"/>
      <c r="G28" s="658">
        <f>IF(F28="",E28,F28)*C28</f>
        <v>0</v>
      </c>
      <c r="H28" s="502"/>
      <c r="I28" s="420"/>
    </row>
    <row r="29" spans="2:9">
      <c r="B29" s="420" t="str">
        <v>Large HAZMAT</v>
      </c>
      <c r="C29" s="668">
        <v>1</v>
      </c>
      <c r="D29" s="28" t="str">
        <v>project</v>
      </c>
      <c r="E29" s="342">
        <v>781299.80500000017</v>
      </c>
      <c r="F29" s="414"/>
      <c r="G29" s="658">
        <f>IF(F29="",E29,F29)*C29</f>
        <v>781299.80500000017</v>
      </c>
      <c r="H29" s="502" t="s">
        <v>1173</v>
      </c>
      <c r="I29" s="420"/>
    </row>
    <row r="30" spans="2:9">
      <c r="B30" s="420" t="str">
        <v>Disposal of Radiation Devices</v>
      </c>
      <c r="C30" s="668">
        <v>2</v>
      </c>
      <c r="D30" s="28" t="str">
        <v>device</v>
      </c>
      <c r="E30" s="342">
        <v>34562.955009999998</v>
      </c>
      <c r="F30" s="414"/>
      <c r="G30" s="658">
        <f>IF(F30="",E30,F30)*C30</f>
        <v>69125.910019999996</v>
      </c>
      <c r="H30" s="502" t="s">
        <v>1174</v>
      </c>
      <c r="I30" s="420"/>
    </row>
    <row r="31" spans="2:9">
      <c r="B31" s="660" t="str">
        <f>B26</f>
        <v>HAZMAT</v>
      </c>
      <c r="C31" s="661"/>
      <c r="D31" s="661"/>
      <c r="E31" s="661"/>
      <c r="F31" s="663"/>
      <c r="G31" s="664">
        <f>SUM(G27:G30)</f>
        <v>850425.71502000012</v>
      </c>
      <c r="H31" s="502"/>
      <c r="I31" s="420"/>
    </row>
    <row r="32" spans="2:9" customFormat="1" ht="12.75">
      <c r="B32" s="657" t="s">
        <v>1175</v>
      </c>
      <c r="H32" s="502"/>
      <c r="I32" s="427"/>
    </row>
    <row r="33" spans="2:9">
      <c r="B33" s="420" t="str">
        <f>Nightly_Patrols_CS</f>
        <v>Nightly Patrols</v>
      </c>
      <c r="C33" s="668"/>
      <c r="D33" s="28" t="s">
        <v>1176</v>
      </c>
      <c r="E33" s="665">
        <f>Nightly_Patrols_rate</f>
        <v>135854.75200000001</v>
      </c>
      <c r="F33" s="673"/>
      <c r="G33" s="658">
        <f>IF(F33="",E33,F33)*C33</f>
        <v>0</v>
      </c>
      <c r="H33" s="502"/>
      <c r="I33" s="420"/>
    </row>
    <row r="34" spans="2:9">
      <c r="B34" s="420" t="str">
        <f>'Cost Schedule'!C96</f>
        <v>Heritage Report</v>
      </c>
      <c r="C34" s="668"/>
      <c r="D34" s="28" t="str">
        <f>'Cost Schedule'!E96</f>
        <v>Report</v>
      </c>
      <c r="E34" s="342">
        <f>'Cost Schedule'!D96</f>
        <v>37273.456174999999</v>
      </c>
      <c r="F34" s="414"/>
      <c r="G34" s="658">
        <f>IF(F34="",E34,F34)*C34</f>
        <v>0</v>
      </c>
      <c r="H34" s="502"/>
      <c r="I34" s="420"/>
    </row>
    <row r="35" spans="2:9">
      <c r="B35" s="637" t="s">
        <v>1177</v>
      </c>
      <c r="C35" s="668"/>
      <c r="D35" s="670"/>
      <c r="E35" s="659"/>
      <c r="F35" s="414"/>
      <c r="G35" s="658">
        <f>IF(F35="",E35,F35)*C35</f>
        <v>0</v>
      </c>
      <c r="H35" s="502"/>
      <c r="I35" s="420"/>
    </row>
    <row r="36" spans="2:9">
      <c r="B36" s="660" t="str">
        <f>B32</f>
        <v>Heritage, Security, Other</v>
      </c>
      <c r="C36" s="661"/>
      <c r="D36" s="661"/>
      <c r="E36" s="661"/>
      <c r="F36" s="663"/>
      <c r="G36" s="664">
        <f>SUM(G33:G35)</f>
        <v>0</v>
      </c>
      <c r="H36" s="502"/>
      <c r="I36" s="420"/>
    </row>
    <row r="37" spans="2:9" customFormat="1" ht="12.75">
      <c r="B37" s="657" t="s">
        <v>1178</v>
      </c>
      <c r="H37" s="502"/>
      <c r="I37" s="427"/>
    </row>
    <row r="38" spans="2:9">
      <c r="B38" s="420" t="str">
        <f>'Cost Schedule'!C999</f>
        <v>Maintenance and monitoring of sealed adits/portals and shafts</v>
      </c>
      <c r="C38" s="668"/>
      <c r="D38" s="28" t="s">
        <v>1179</v>
      </c>
      <c r="E38" s="665">
        <f>'Cost Schedule'!D999</f>
        <v>5463.6350000000002</v>
      </c>
      <c r="F38" s="673"/>
      <c r="G38" s="658">
        <f>IF(F38="",E38,F38)*C38</f>
        <v>0</v>
      </c>
      <c r="H38" s="502"/>
      <c r="I38" s="420" t="s">
        <v>1180</v>
      </c>
    </row>
    <row r="39" spans="2:9">
      <c r="B39" s="420" t="str">
        <f>'Cost Schedule'!C68</f>
        <v>Care and Maintenance No Water Treatment</v>
      </c>
      <c r="C39" s="668"/>
      <c r="D39" s="28" t="str">
        <f>'Cost Schedule'!E68</f>
        <v>month</v>
      </c>
      <c r="E39" s="342">
        <f>'Cost Schedule'!D68</f>
        <v>47135.463876488095</v>
      </c>
      <c r="F39" s="414"/>
      <c r="G39" s="658">
        <f>IF(F39="",E39,F39)*C39</f>
        <v>0</v>
      </c>
      <c r="H39" s="502"/>
      <c r="I39" s="420"/>
    </row>
    <row r="40" spans="2:9">
      <c r="B40" s="420" t="str">
        <f>'Cost Schedule'!C69</f>
        <v>Care and Maintenance with Water Treatment</v>
      </c>
      <c r="C40" s="668"/>
      <c r="D40" s="28" t="str">
        <f>'Cost Schedule'!E69</f>
        <v>month</v>
      </c>
      <c r="E40" s="342">
        <f>'Cost Schedule'!D69</f>
        <v>316702.66953071579</v>
      </c>
      <c r="F40" s="414"/>
      <c r="G40" s="658">
        <f>IF(F40="",E40,F40)*C40</f>
        <v>0</v>
      </c>
      <c r="H40" s="502"/>
      <c r="I40" s="420"/>
    </row>
    <row r="41" spans="2:9">
      <c r="B41" s="592" t="str">
        <f>B37</f>
        <v>Care and Maintenance</v>
      </c>
      <c r="C41" s="661"/>
      <c r="D41" s="661"/>
      <c r="E41" s="663"/>
      <c r="F41" s="72"/>
      <c r="G41" s="664">
        <f>SUM(G38:G40)</f>
        <v>0</v>
      </c>
      <c r="H41" s="502"/>
      <c r="I41" s="420"/>
    </row>
    <row r="42" spans="2:9" customFormat="1" ht="12.75">
      <c r="B42" s="657" t="s">
        <v>534</v>
      </c>
      <c r="H42" s="502"/>
      <c r="I42" s="427"/>
    </row>
    <row r="43" spans="2:9" ht="33.75">
      <c r="B43" s="576" t="s">
        <v>194</v>
      </c>
      <c r="H43" s="502"/>
      <c r="I43" s="418" t="s">
        <v>195</v>
      </c>
    </row>
    <row r="44" spans="2:9">
      <c r="B44" s="576" t="str">
        <f>'Cost Schedule'!$C$833</f>
        <v>Pest Management</v>
      </c>
      <c r="C44" s="605">
        <v>379</v>
      </c>
      <c r="D44" s="28" t="str">
        <f>'Cost Schedule'!E833</f>
        <v>ha</v>
      </c>
      <c r="E44" s="438">
        <f>'Cost Schedule'!D833</f>
        <v>156.38726940000001</v>
      </c>
      <c r="F44" s="673"/>
      <c r="G44" s="658">
        <f t="shared" ref="G44:G49" si="2">IF(F44="",E44,F44)*C44</f>
        <v>59270.775102600004</v>
      </c>
      <c r="H44" s="502"/>
      <c r="I44" s="420"/>
    </row>
    <row r="45" spans="2:9">
      <c r="B45" s="576" t="str">
        <f>'Cost Schedule'!$C$834</f>
        <v>Land management of undisturbed areas</v>
      </c>
      <c r="C45" s="605">
        <v>336.2</v>
      </c>
      <c r="D45" s="28" t="str">
        <f>'Cost Schedule'!E834</f>
        <v>ha</v>
      </c>
      <c r="E45" s="438">
        <f>'Cost Schedule'!D834</f>
        <v>473.09634541637763</v>
      </c>
      <c r="F45" s="414"/>
      <c r="G45" s="658">
        <f t="shared" si="2"/>
        <v>159054.99132898616</v>
      </c>
      <c r="H45" s="502"/>
      <c r="I45" s="420"/>
    </row>
    <row r="46" spans="2:9">
      <c r="B46" s="576" t="str">
        <f>'Cost Schedule'!$C$835</f>
        <v>Maintenance of areas that are shaped and seeded and revegetation has been successful</v>
      </c>
      <c r="C46" s="605">
        <v>66</v>
      </c>
      <c r="D46" s="28" t="str">
        <f>'Cost Schedule'!E835</f>
        <v>ha</v>
      </c>
      <c r="E46" s="438">
        <f>'Cost Schedule'!D835</f>
        <v>1047.9768316769243</v>
      </c>
      <c r="F46" s="414"/>
      <c r="G46" s="658">
        <f t="shared" si="2"/>
        <v>69166.47089067701</v>
      </c>
      <c r="H46" s="502"/>
      <c r="I46" s="420"/>
    </row>
    <row r="47" spans="2:9">
      <c r="B47" s="576" t="str">
        <f>'Cost Schedule'!$C$836</f>
        <v>Existing rehabilitation repair - minor</v>
      </c>
      <c r="C47" s="605"/>
      <c r="D47" s="28" t="str">
        <f>'Cost Schedule'!E836</f>
        <v>ha</v>
      </c>
      <c r="E47" s="438">
        <f>'Cost Schedule'!D836</f>
        <v>1266.6334079070016</v>
      </c>
      <c r="F47" s="414"/>
      <c r="G47" s="658">
        <f t="shared" si="2"/>
        <v>0</v>
      </c>
      <c r="H47" s="502"/>
      <c r="I47" s="420"/>
    </row>
    <row r="48" spans="2:9">
      <c r="B48" s="576" t="str">
        <f>'Cost Schedule'!$C$837</f>
        <v>Existing rehabilitation repair - moderate</v>
      </c>
      <c r="C48" s="605"/>
      <c r="D48" s="28" t="str">
        <f>'Cost Schedule'!E837</f>
        <v>ha</v>
      </c>
      <c r="E48" s="438">
        <f>'Cost Schedule'!D837</f>
        <v>1978.1198943934883</v>
      </c>
      <c r="F48" s="414"/>
      <c r="G48" s="658">
        <f t="shared" si="2"/>
        <v>0</v>
      </c>
      <c r="H48" s="502"/>
      <c r="I48" s="420"/>
    </row>
    <row r="49" spans="2:9">
      <c r="B49" s="576" t="str">
        <f>'Cost Schedule'!$C$838</f>
        <v>Existing rehabilitation repair - major</v>
      </c>
      <c r="C49" s="605"/>
      <c r="D49" s="28" t="str">
        <f>'Cost Schedule'!E838</f>
        <v>ha</v>
      </c>
      <c r="E49" s="438">
        <f>'Cost Schedule'!D838</f>
        <v>3401.0928673664612</v>
      </c>
      <c r="F49" s="414"/>
      <c r="G49" s="658">
        <f t="shared" si="2"/>
        <v>0</v>
      </c>
      <c r="H49" s="502"/>
      <c r="I49" s="420"/>
    </row>
    <row r="50" spans="2:9">
      <c r="B50" s="576" t="str">
        <f>'Cost Schedule'!$C$838</f>
        <v>Existing rehabilitation repair - major</v>
      </c>
      <c r="C50" s="605"/>
      <c r="D50" s="28" t="str">
        <f>'Cost Schedule'!E839</f>
        <v>ha</v>
      </c>
      <c r="E50" s="438">
        <f>'Cost Schedule'!D839</f>
        <v>27579.416003948303</v>
      </c>
      <c r="F50" s="414"/>
      <c r="G50" s="658">
        <f t="shared" ref="G50" si="3">IF(F50="",E50,F50)*C50</f>
        <v>0</v>
      </c>
      <c r="H50" s="502"/>
      <c r="I50" s="420"/>
    </row>
    <row r="51" spans="2:9" collapsed="1">
      <c r="B51" s="663" t="str">
        <f>B42</f>
        <v>Maintenance of Rehabilitated Areas and Repairs</v>
      </c>
      <c r="C51" s="663"/>
      <c r="D51" s="663"/>
      <c r="E51" s="663"/>
      <c r="F51" s="62"/>
      <c r="G51" s="664">
        <f>SUM(G44:G50)</f>
        <v>287492.23732226319</v>
      </c>
      <c r="H51" s="502"/>
      <c r="I51" s="420"/>
    </row>
    <row r="52" spans="2:9" customFormat="1" ht="12.75">
      <c r="B52" s="657" t="s">
        <v>1181</v>
      </c>
      <c r="H52" s="502"/>
      <c r="I52" s="427"/>
    </row>
    <row r="53" spans="2:9" ht="33.75">
      <c r="B53" s="576" t="s">
        <v>194</v>
      </c>
      <c r="H53" s="502"/>
      <c r="I53" s="418" t="s">
        <v>195</v>
      </c>
    </row>
    <row r="54" spans="2:9">
      <c r="B54" s="576" t="str">
        <f>'Cost Schedule'!$C$71</f>
        <v>Clearing and grubbing of trees and vegetation</v>
      </c>
      <c r="C54" s="605"/>
      <c r="D54" s="28" t="s">
        <v>299</v>
      </c>
      <c r="E54" s="342">
        <f>'Cost Schedule'!$D$71</f>
        <v>729.79294810707802</v>
      </c>
      <c r="F54" s="673"/>
      <c r="G54" s="658">
        <f t="shared" ref="G54:G67" si="4">IF(F54="",E54,F54)*C54</f>
        <v>0</v>
      </c>
      <c r="H54" s="502"/>
      <c r="I54" s="420"/>
    </row>
    <row r="55" spans="2:9">
      <c r="B55" s="576" t="str">
        <f>'Cost Schedule'!$C892</f>
        <v>Dozer applied Pasture seed</v>
      </c>
      <c r="C55" s="605"/>
      <c r="D55" s="28" t="str">
        <f>'Cost Schedule'!E892</f>
        <v>ha</v>
      </c>
      <c r="E55" s="342">
        <f>Pasture_rolledup_CS</f>
        <v>3145.8431763333333</v>
      </c>
      <c r="F55" s="414"/>
      <c r="G55" s="658">
        <f t="shared" si="4"/>
        <v>0</v>
      </c>
      <c r="H55" s="502"/>
      <c r="I55" s="420"/>
    </row>
    <row r="56" spans="2:9">
      <c r="B56" s="576" t="str">
        <f>'Cost Schedule'!$C893</f>
        <v>Handcast Pasture seed</v>
      </c>
      <c r="C56" s="605"/>
      <c r="D56" s="28" t="str">
        <f>'Cost Schedule'!E893</f>
        <v>ha</v>
      </c>
      <c r="E56" s="342">
        <f>Native_rolledup_CS</f>
        <v>4558.1905333333334</v>
      </c>
      <c r="F56" s="414"/>
      <c r="G56" s="658">
        <f t="shared" ref="G56:G57" si="5">IF(F56="",E56,F56)*C56</f>
        <v>0</v>
      </c>
      <c r="H56" s="502"/>
      <c r="I56" s="420"/>
    </row>
    <row r="57" spans="2:9">
      <c r="B57" s="576" t="str">
        <f>'Cost Schedule'!$C895</f>
        <v>Handcast Native seed</v>
      </c>
      <c r="C57" s="605"/>
      <c r="D57" s="28" t="str">
        <f>'Cost Schedule'!E895</f>
        <v>ha</v>
      </c>
      <c r="E57" s="342">
        <f>'Cost Schedule'!D895</f>
        <v>4172.8119999999999</v>
      </c>
      <c r="F57" s="414"/>
      <c r="G57" s="658">
        <f t="shared" si="5"/>
        <v>0</v>
      </c>
      <c r="H57" s="502"/>
      <c r="I57" s="420"/>
    </row>
    <row r="58" spans="2:9">
      <c r="B58" s="576" t="str">
        <f>'Cost Schedule'!$C896</f>
        <v>Plant Tube stock</v>
      </c>
      <c r="C58" s="605"/>
      <c r="D58" s="28" t="str">
        <f>'Cost Schedule'!E896</f>
        <v>ha</v>
      </c>
      <c r="E58" s="342">
        <f>'Cost Schedule'!D896</f>
        <v>1295.5612666666668</v>
      </c>
      <c r="F58" s="414"/>
      <c r="G58" s="658">
        <f t="shared" ref="G58:G63" si="6">IF(F58="",E58,F58)*C58</f>
        <v>0</v>
      </c>
      <c r="H58" s="502"/>
      <c r="I58" s="420"/>
    </row>
    <row r="59" spans="2:9">
      <c r="B59" s="576" t="str">
        <f>'Cost Schedule'!$C898</f>
        <v>Spray Hydroseeding - pasture seed</v>
      </c>
      <c r="C59" s="605"/>
      <c r="D59" s="28" t="str">
        <f>'Cost Schedule'!E898</f>
        <v>ha</v>
      </c>
      <c r="E59" s="342">
        <f>'Cost Schedule'!D898</f>
        <v>5864.4153632500002</v>
      </c>
      <c r="F59" s="414"/>
      <c r="G59" s="658">
        <f t="shared" ref="G59" si="7">IF(F59="",E59,F59)*C59</f>
        <v>0</v>
      </c>
      <c r="H59" s="502"/>
      <c r="I59" s="420"/>
    </row>
    <row r="60" spans="2:9">
      <c r="B60" s="576" t="str">
        <f>'Cost Schedule'!$C899</f>
        <v>Spray Hydroseeding - native seed</v>
      </c>
      <c r="C60" s="605"/>
      <c r="D60" s="28" t="str">
        <f>'Cost Schedule'!E899</f>
        <v>ha</v>
      </c>
      <c r="E60" s="342">
        <f>'Cost Schedule'!D899</f>
        <v>16411.125</v>
      </c>
      <c r="F60" s="414"/>
      <c r="G60" s="658">
        <f t="shared" si="6"/>
        <v>0</v>
      </c>
      <c r="H60" s="502"/>
      <c r="I60" s="420"/>
    </row>
    <row r="61" spans="2:9">
      <c r="B61" s="576" t="str">
        <f>'Cost Schedule'!$C900</f>
        <v>Spray Hydromulch - BFM - pasture seed</v>
      </c>
      <c r="C61" s="605"/>
      <c r="D61" s="28" t="str">
        <f>'Cost Schedule'!E900</f>
        <v>ha</v>
      </c>
      <c r="E61" s="342">
        <f>'Cost Schedule'!D900</f>
        <v>22253.515363249997</v>
      </c>
      <c r="F61" s="414"/>
      <c r="G61" s="658">
        <f t="shared" si="6"/>
        <v>0</v>
      </c>
      <c r="H61" s="502"/>
      <c r="I61" s="420"/>
    </row>
    <row r="62" spans="2:9">
      <c r="B62" s="576" t="str">
        <f>'Cost Schedule'!$C901</f>
        <v>Spray Hydromulch - BFM - native seed</v>
      </c>
      <c r="C62" s="605"/>
      <c r="D62" s="28" t="str">
        <f>'Cost Schedule'!E901</f>
        <v>ha</v>
      </c>
      <c r="E62" s="342">
        <f>'Cost Schedule'!D901</f>
        <v>32800.224999999999</v>
      </c>
      <c r="F62" s="414"/>
      <c r="G62" s="658">
        <f t="shared" si="6"/>
        <v>0</v>
      </c>
      <c r="H62" s="502"/>
      <c r="I62" s="420"/>
    </row>
    <row r="63" spans="2:9">
      <c r="B63" s="576" t="str">
        <f>'Cost Schedule'!$C902</f>
        <v>Spray Hydromulch - FRM - pasture seed</v>
      </c>
      <c r="C63" s="605"/>
      <c r="D63" s="28" t="str">
        <f>'Cost Schedule'!E902</f>
        <v>ha</v>
      </c>
      <c r="E63" s="342">
        <f>'Cost Schedule'!D902</f>
        <v>35726.524968513164</v>
      </c>
      <c r="F63" s="414"/>
      <c r="G63" s="658">
        <f t="shared" si="6"/>
        <v>0</v>
      </c>
      <c r="H63" s="502"/>
      <c r="I63" s="420"/>
    </row>
    <row r="64" spans="2:9">
      <c r="B64" s="576" t="str">
        <f>'Cost Schedule'!$C903</f>
        <v>Spray Hydromulch - FRM - native seed</v>
      </c>
      <c r="C64" s="605"/>
      <c r="D64" s="28" t="str">
        <f>'Cost Schedule'!E903</f>
        <v>ha</v>
      </c>
      <c r="E64" s="342">
        <f>'Cost Schedule'!D903</f>
        <v>46273.234605263162</v>
      </c>
      <c r="F64" s="414"/>
      <c r="G64" s="658">
        <f t="shared" ref="G64:G66" si="8">IF(F64="",E64,F64)*C64</f>
        <v>0</v>
      </c>
      <c r="H64" s="502"/>
      <c r="I64" s="420"/>
    </row>
    <row r="65" spans="2:9">
      <c r="B65" s="576" t="str">
        <f>'Cost Schedule'!$C904</f>
        <v>Spray Hydromulch - BGM - pasture seed</v>
      </c>
      <c r="C65" s="605"/>
      <c r="D65" s="28" t="str">
        <f>'Cost Schedule'!E904</f>
        <v>ha</v>
      </c>
      <c r="E65" s="342">
        <f>'Cost Schedule'!D904</f>
        <v>47734.652863250005</v>
      </c>
      <c r="F65" s="414"/>
      <c r="G65" s="658">
        <f t="shared" si="8"/>
        <v>0</v>
      </c>
      <c r="H65" s="502"/>
      <c r="I65" s="420"/>
    </row>
    <row r="66" spans="2:9">
      <c r="B66" s="576" t="str">
        <f>'Cost Schedule'!$C905</f>
        <v>Spray Hydromulch - BGM - native seed</v>
      </c>
      <c r="C66" s="605"/>
      <c r="D66" s="28" t="str">
        <f>'Cost Schedule'!E905</f>
        <v>ha</v>
      </c>
      <c r="E66" s="342">
        <f>'Cost Schedule'!D905</f>
        <v>59084.652863250005</v>
      </c>
      <c r="F66" s="673"/>
      <c r="G66" s="658">
        <f t="shared" si="8"/>
        <v>0</v>
      </c>
      <c r="H66" s="502"/>
      <c r="I66" s="420"/>
    </row>
    <row r="67" spans="2:9">
      <c r="B67" s="576" t="str">
        <f>'Cost Schedule'!$C10</f>
        <v>Purchase and apply Gypsum</v>
      </c>
      <c r="C67" s="605"/>
      <c r="D67" s="28" t="str">
        <f>'Cost Schedule'!E10</f>
        <v>ha</v>
      </c>
      <c r="E67" s="342">
        <f>'Cost Schedule'!D10</f>
        <v>2465.3686535543015</v>
      </c>
      <c r="F67" s="414"/>
      <c r="G67" s="658">
        <f t="shared" si="4"/>
        <v>0</v>
      </c>
      <c r="H67" s="502"/>
      <c r="I67" s="420"/>
    </row>
    <row r="68" spans="2:9">
      <c r="B68" s="576" t="str">
        <f>'Cost Schedule'!$C11</f>
        <v>Purchase and apply Lime</v>
      </c>
      <c r="C68" s="605"/>
      <c r="D68" s="28" t="str">
        <f>'Cost Schedule'!E11</f>
        <v>ha</v>
      </c>
      <c r="E68" s="342">
        <f>'Cost Schedule'!D11</f>
        <v>2496.9838117323302</v>
      </c>
      <c r="F68" s="414"/>
      <c r="G68" s="658">
        <f t="shared" ref="G68:G72" si="9">IF(F68="",E68,F68)*C68</f>
        <v>0</v>
      </c>
      <c r="H68" s="502"/>
      <c r="I68" s="420"/>
    </row>
    <row r="69" spans="2:9">
      <c r="B69" s="576" t="str">
        <f>'Cost Schedule'!$C12</f>
        <v>Purchase and apply Biosolids, MSW, Manure</v>
      </c>
      <c r="C69" s="605"/>
      <c r="D69" s="28" t="str">
        <f>'Cost Schedule'!E12</f>
        <v>ha</v>
      </c>
      <c r="E69" s="342">
        <f>'Cost Schedule'!D12</f>
        <v>6188.4550566415755</v>
      </c>
      <c r="F69" s="414"/>
      <c r="G69" s="658">
        <f t="shared" si="9"/>
        <v>0</v>
      </c>
      <c r="H69" s="502"/>
      <c r="I69" s="420"/>
    </row>
    <row r="70" spans="2:9">
      <c r="B70" s="576" t="str">
        <f>'Cost Schedule'!$C13</f>
        <v>Purchase and apply Gypsum + Biosolids</v>
      </c>
      <c r="C70" s="605"/>
      <c r="D70" s="28" t="str">
        <f>'Cost Schedule'!E13</f>
        <v>ha</v>
      </c>
      <c r="E70" s="342">
        <f>'Cost Schedule'!D13</f>
        <v>2597.3946246641581</v>
      </c>
      <c r="F70" s="414"/>
      <c r="G70" s="658">
        <f t="shared" si="9"/>
        <v>0</v>
      </c>
      <c r="H70" s="502"/>
      <c r="I70" s="420"/>
    </row>
    <row r="71" spans="2:9">
      <c r="B71" s="576" t="str">
        <f>'Cost Schedule'!$C14</f>
        <v>Purchase and apply Hay Mulch / Sugar Cane</v>
      </c>
      <c r="C71" s="605"/>
      <c r="D71" s="28" t="str">
        <f>'Cost Schedule'!E14</f>
        <v>ha</v>
      </c>
      <c r="E71" s="342">
        <f>'Cost Schedule'!D14</f>
        <v>2664.0279925376276</v>
      </c>
      <c r="F71" s="414"/>
      <c r="G71" s="658">
        <f t="shared" si="9"/>
        <v>0</v>
      </c>
      <c r="H71" s="502"/>
      <c r="I71" s="420"/>
    </row>
    <row r="72" spans="2:9">
      <c r="B72" s="576" t="str">
        <f>'Cost Schedule'!$C15</f>
        <v>Purchase and apply Fertiliser - pasture</v>
      </c>
      <c r="C72" s="605"/>
      <c r="D72" s="28" t="str">
        <f>'Cost Schedule'!E15</f>
        <v>ha</v>
      </c>
      <c r="E72" s="342">
        <f>'Cost Schedule'!D15</f>
        <v>2374.4214128088392</v>
      </c>
      <c r="F72" s="414"/>
      <c r="G72" s="658">
        <f t="shared" si="9"/>
        <v>0</v>
      </c>
      <c r="H72" s="502"/>
      <c r="I72" s="420"/>
    </row>
    <row r="73" spans="2:9" collapsed="1">
      <c r="B73" s="666" t="str">
        <f>B52</f>
        <v>Land Preparation and Revegetation (Growth Media Development and Ecosystem Establishment). Outside of other domains.</v>
      </c>
      <c r="C73" s="441"/>
      <c r="D73" s="441"/>
      <c r="E73" s="441"/>
      <c r="F73" s="441"/>
      <c r="G73" s="664">
        <f>SUM(G54:G72)</f>
        <v>0</v>
      </c>
      <c r="H73" s="502"/>
      <c r="I73" s="420"/>
    </row>
    <row r="74" spans="2:9" customFormat="1" ht="12.75">
      <c r="B74" s="657" t="s">
        <v>1182</v>
      </c>
      <c r="H74" s="502"/>
      <c r="I74" s="427"/>
    </row>
    <row r="75" spans="2:9" ht="33.75">
      <c r="B75" s="576" t="s">
        <v>194</v>
      </c>
      <c r="H75" s="502"/>
      <c r="I75" s="418" t="s">
        <v>195</v>
      </c>
    </row>
    <row r="76" spans="2:9">
      <c r="B76" s="576" t="str">
        <f>'Cost Schedule'!C107</f>
        <v>Repairs and/or stabilisation of new or compromised water course diversion</v>
      </c>
      <c r="C76" s="404"/>
      <c r="D76" s="28" t="str">
        <f>'Cost Schedule'!E107</f>
        <v>m</v>
      </c>
      <c r="E76" s="342">
        <f>'Cost Schedule'!D107</f>
        <v>30.935286443204365</v>
      </c>
      <c r="F76" s="673"/>
      <c r="G76" s="658">
        <f t="shared" ref="G76" si="10">IF(F76="",E76,F76)*C76</f>
        <v>0</v>
      </c>
      <c r="H76" s="502"/>
      <c r="I76" s="420"/>
    </row>
    <row r="77" spans="2:9">
      <c r="B77" s="576" t="str">
        <f>'Cost Schedule'!C108</f>
        <v>Long term maintenance of water course diversion – Channel constructed through backfilled material (major)</v>
      </c>
      <c r="C77" s="404"/>
      <c r="D77" s="28" t="str">
        <f>'Cost Schedule'!E108</f>
        <v>m</v>
      </c>
      <c r="E77" s="342">
        <f>'Cost Schedule'!D108</f>
        <v>30.11046104876522</v>
      </c>
      <c r="F77" s="414"/>
      <c r="G77" s="658">
        <f t="shared" ref="G77:G81" si="11">IF(F77="",E77,F77)*C77</f>
        <v>0</v>
      </c>
      <c r="H77" s="502"/>
      <c r="I77" s="420"/>
    </row>
    <row r="78" spans="2:9">
      <c r="B78" s="576" t="str">
        <f>'Cost Schedule'!C109</f>
        <v>Long term maintenance of water course diversion – Channel constructed through competent material (major)</v>
      </c>
      <c r="C78" s="404"/>
      <c r="D78" s="28" t="str">
        <f>'Cost Schedule'!E109</f>
        <v>m</v>
      </c>
      <c r="E78" s="342">
        <f>'Cost Schedule'!D109</f>
        <v>31.760111837643507</v>
      </c>
      <c r="F78" s="414"/>
      <c r="G78" s="658">
        <f t="shared" si="11"/>
        <v>0</v>
      </c>
      <c r="H78" s="502"/>
      <c r="I78" s="420"/>
    </row>
    <row r="79" spans="2:9">
      <c r="B79" s="576" t="str">
        <f>'Cost Schedule'!C110</f>
        <v>Long term maintenance of water course diversion – Channel constructed through backfilled material (minor)</v>
      </c>
      <c r="C79" s="404"/>
      <c r="D79" s="28" t="str">
        <f>'Cost Schedule'!E110</f>
        <v>m</v>
      </c>
      <c r="E79" s="342">
        <f>'Cost Schedule'!D110</f>
        <v>14.400655284192066</v>
      </c>
      <c r="F79" s="414"/>
      <c r="G79" s="658">
        <f t="shared" si="11"/>
        <v>0</v>
      </c>
      <c r="H79" s="502"/>
      <c r="I79" s="420"/>
    </row>
    <row r="80" spans="2:9">
      <c r="B80" s="576" t="str">
        <f>'Cost Schedule'!C111</f>
        <v>Long term maintenance of water course diversion – Channel constructed through competent material (low risk minor)</v>
      </c>
      <c r="C80" s="404"/>
      <c r="D80" s="28" t="str">
        <f>'Cost Schedule'!E111</f>
        <v>m</v>
      </c>
      <c r="E80" s="342">
        <f>'Cost Schedule'!D111</f>
        <v>15.18961870495994</v>
      </c>
      <c r="F80" s="414"/>
      <c r="G80" s="658">
        <f t="shared" si="11"/>
        <v>0</v>
      </c>
      <c r="H80" s="502"/>
      <c r="I80" s="420"/>
    </row>
    <row r="81" spans="2:9">
      <c r="B81" s="576" t="str">
        <f>'Cost Schedule'!C112</f>
        <v>Install Rock Armour for drainage</v>
      </c>
      <c r="C81" s="404"/>
      <c r="D81" s="28" t="str">
        <f>'Cost Schedule'!E112</f>
        <v>m2</v>
      </c>
      <c r="E81" s="342">
        <f>'Cost Schedule'!D112</f>
        <v>2.1341643162000881</v>
      </c>
      <c r="F81" s="414"/>
      <c r="G81" s="658">
        <f t="shared" si="11"/>
        <v>0</v>
      </c>
      <c r="H81" s="502"/>
      <c r="I81" s="420"/>
    </row>
    <row r="82" spans="2:9" collapsed="1">
      <c r="B82" s="441" t="str">
        <f>B74</f>
        <v>Creek Diversions</v>
      </c>
      <c r="C82" s="661"/>
      <c r="D82" s="661"/>
      <c r="E82" s="661"/>
      <c r="F82" s="661"/>
      <c r="G82" s="664">
        <f>SUM(G76:G81)</f>
        <v>0</v>
      </c>
      <c r="H82" s="502"/>
      <c r="I82" s="420"/>
    </row>
    <row r="83" spans="2:9" customFormat="1" ht="12.75">
      <c r="B83" s="657" t="s">
        <v>1183</v>
      </c>
      <c r="H83" s="502"/>
      <c r="I83" s="427"/>
    </row>
    <row r="84" spans="2:9">
      <c r="B84" s="671" t="s">
        <v>1184</v>
      </c>
      <c r="C84" s="668"/>
      <c r="D84" s="28" t="str">
        <f>'Cost Schedule'!E842</f>
        <v>site</v>
      </c>
      <c r="E84" s="665">
        <f t="shared" ref="E84:E91" si="12">_xlfn.XLOOKUP(B84,Mobe_names_CS,Mobe_rates_CS)</f>
        <v>104000</v>
      </c>
      <c r="F84" s="673"/>
      <c r="G84" s="658">
        <f>IF(F84="",E84,F84)*C84</f>
        <v>0</v>
      </c>
      <c r="H84" s="502"/>
      <c r="I84" s="420"/>
    </row>
    <row r="85" spans="2:9">
      <c r="B85" s="671" t="s">
        <v>1185</v>
      </c>
      <c r="C85" s="668"/>
      <c r="D85" s="28" t="str">
        <f>'Cost Schedule'!E843</f>
        <v>site</v>
      </c>
      <c r="E85" s="342">
        <f t="shared" si="12"/>
        <v>111000</v>
      </c>
      <c r="F85" s="414"/>
      <c r="G85" s="658">
        <f t="shared" ref="G85:G87" si="13">IF(F85="",E85,F85)*C85</f>
        <v>0</v>
      </c>
      <c r="H85" s="502"/>
      <c r="I85" s="420"/>
    </row>
    <row r="86" spans="2:9">
      <c r="B86" s="671" t="s">
        <v>1186</v>
      </c>
      <c r="C86" s="668"/>
      <c r="D86" s="28" t="str">
        <f>'Cost Schedule'!E844</f>
        <v>site</v>
      </c>
      <c r="E86" s="342">
        <f t="shared" si="12"/>
        <v>121000</v>
      </c>
      <c r="F86" s="414"/>
      <c r="G86" s="658">
        <f t="shared" si="13"/>
        <v>0</v>
      </c>
      <c r="H86" s="502"/>
      <c r="I86" s="420"/>
    </row>
    <row r="87" spans="2:9">
      <c r="B87" s="671" t="s">
        <v>1187</v>
      </c>
      <c r="C87" s="668"/>
      <c r="D87" s="28" t="str">
        <f>'Cost Schedule'!E845</f>
        <v>site</v>
      </c>
      <c r="E87" s="342">
        <f t="shared" si="12"/>
        <v>118000</v>
      </c>
      <c r="F87" s="414"/>
      <c r="G87" s="658">
        <f t="shared" si="13"/>
        <v>0</v>
      </c>
      <c r="H87" s="502"/>
      <c r="I87" s="420"/>
    </row>
    <row r="88" spans="2:9">
      <c r="B88" s="671" t="s">
        <v>1188</v>
      </c>
      <c r="C88" s="668"/>
      <c r="D88" s="28" t="str">
        <f>'Cost Schedule'!E846</f>
        <v>site</v>
      </c>
      <c r="E88" s="342">
        <f t="shared" si="12"/>
        <v>14000</v>
      </c>
      <c r="F88" s="414"/>
      <c r="G88" s="658">
        <f t="shared" ref="G88:G91" si="14">IF(F88="",E88,F88)*C88</f>
        <v>0</v>
      </c>
      <c r="H88" s="502"/>
      <c r="I88" s="420"/>
    </row>
    <row r="89" spans="2:9">
      <c r="B89" s="671" t="s">
        <v>1189</v>
      </c>
      <c r="C89" s="668"/>
      <c r="D89" s="28" t="str">
        <f>'Cost Schedule'!E847</f>
        <v>site</v>
      </c>
      <c r="E89" s="342">
        <f t="shared" si="12"/>
        <v>26000</v>
      </c>
      <c r="F89" s="414"/>
      <c r="G89" s="658">
        <f t="shared" si="14"/>
        <v>0</v>
      </c>
      <c r="H89" s="502"/>
      <c r="I89" s="420"/>
    </row>
    <row r="90" spans="2:9">
      <c r="B90" s="671" t="s">
        <v>1190</v>
      </c>
      <c r="C90" s="668"/>
      <c r="D90" s="28" t="str">
        <f>'Cost Schedule'!E848</f>
        <v>site</v>
      </c>
      <c r="E90" s="342">
        <f t="shared" si="12"/>
        <v>48000</v>
      </c>
      <c r="F90" s="414"/>
      <c r="G90" s="658">
        <f t="shared" si="14"/>
        <v>0</v>
      </c>
      <c r="H90" s="502"/>
      <c r="I90" s="420"/>
    </row>
    <row r="91" spans="2:9">
      <c r="B91" s="671" t="s">
        <v>1191</v>
      </c>
      <c r="C91" s="668"/>
      <c r="D91" s="28" t="str">
        <f>'Cost Schedule'!E849</f>
        <v>site</v>
      </c>
      <c r="E91" s="342">
        <f t="shared" si="12"/>
        <v>60000</v>
      </c>
      <c r="F91" s="414"/>
      <c r="G91" s="658">
        <f t="shared" si="14"/>
        <v>0</v>
      </c>
      <c r="H91" s="502"/>
      <c r="I91" s="420"/>
    </row>
    <row r="92" spans="2:9">
      <c r="B92" s="660"/>
      <c r="C92" s="661"/>
      <c r="D92" s="661"/>
      <c r="E92" s="661"/>
      <c r="F92" s="663"/>
      <c r="G92" s="664">
        <f>SUM(G84:G91)</f>
        <v>0</v>
      </c>
      <c r="H92" s="502"/>
      <c r="I92" s="420"/>
    </row>
    <row r="93" spans="2:9" customFormat="1" ht="12.75">
      <c r="B93" s="657" t="s">
        <v>173</v>
      </c>
      <c r="H93" s="502"/>
      <c r="I93" s="427"/>
    </row>
    <row r="94" spans="2:9">
      <c r="B94" s="671" t="s">
        <v>1192</v>
      </c>
      <c r="C94" s="605"/>
      <c r="D94" s="667"/>
      <c r="F94" s="673"/>
      <c r="G94" s="658">
        <f t="shared" ref="G94:G105" si="15">IF(F94="",E94,F94)*C94</f>
        <v>0</v>
      </c>
      <c r="H94" s="502"/>
      <c r="I94" s="420"/>
    </row>
    <row r="95" spans="2:9">
      <c r="B95" s="671" t="s">
        <v>1192</v>
      </c>
      <c r="C95" s="605"/>
      <c r="D95" s="667"/>
      <c r="F95" s="414"/>
      <c r="G95" s="658">
        <f t="shared" si="15"/>
        <v>0</v>
      </c>
      <c r="H95" s="502"/>
      <c r="I95" s="420"/>
    </row>
    <row r="96" spans="2:9">
      <c r="B96" s="671" t="s">
        <v>1192</v>
      </c>
      <c r="C96" s="605"/>
      <c r="D96" s="667"/>
      <c r="F96" s="414"/>
      <c r="G96" s="658">
        <f t="shared" si="15"/>
        <v>0</v>
      </c>
      <c r="H96" s="502"/>
      <c r="I96" s="420"/>
    </row>
    <row r="97" spans="2:9">
      <c r="B97" s="671" t="s">
        <v>1192</v>
      </c>
      <c r="C97" s="605"/>
      <c r="D97" s="667"/>
      <c r="F97" s="414"/>
      <c r="G97" s="658">
        <f t="shared" si="15"/>
        <v>0</v>
      </c>
      <c r="H97" s="502"/>
      <c r="I97" s="420"/>
    </row>
    <row r="98" spans="2:9">
      <c r="B98" s="671" t="s">
        <v>1192</v>
      </c>
      <c r="C98" s="605"/>
      <c r="D98" s="667"/>
      <c r="F98" s="414"/>
      <c r="G98" s="658">
        <f t="shared" si="15"/>
        <v>0</v>
      </c>
      <c r="H98" s="502"/>
      <c r="I98" s="420"/>
    </row>
    <row r="99" spans="2:9">
      <c r="B99" s="671" t="s">
        <v>1192</v>
      </c>
      <c r="C99" s="605"/>
      <c r="D99" s="667"/>
      <c r="F99" s="414"/>
      <c r="G99" s="658">
        <f t="shared" si="15"/>
        <v>0</v>
      </c>
      <c r="H99" s="502"/>
      <c r="I99" s="420"/>
    </row>
    <row r="100" spans="2:9">
      <c r="B100" s="671" t="s">
        <v>1192</v>
      </c>
      <c r="C100" s="605"/>
      <c r="D100" s="667"/>
      <c r="F100" s="414"/>
      <c r="G100" s="658">
        <f t="shared" si="15"/>
        <v>0</v>
      </c>
      <c r="H100" s="502"/>
      <c r="I100" s="420"/>
    </row>
    <row r="101" spans="2:9">
      <c r="B101" s="671" t="s">
        <v>1192</v>
      </c>
      <c r="C101" s="605"/>
      <c r="D101" s="667"/>
      <c r="F101" s="414"/>
      <c r="G101" s="658">
        <f t="shared" si="15"/>
        <v>0</v>
      </c>
      <c r="H101" s="502"/>
      <c r="I101" s="420"/>
    </row>
    <row r="102" spans="2:9">
      <c r="B102" s="671" t="s">
        <v>1192</v>
      </c>
      <c r="C102" s="605"/>
      <c r="D102" s="667"/>
      <c r="F102" s="414"/>
      <c r="G102" s="658">
        <f t="shared" si="15"/>
        <v>0</v>
      </c>
      <c r="H102" s="502"/>
      <c r="I102" s="420"/>
    </row>
    <row r="103" spans="2:9">
      <c r="B103" s="671" t="s">
        <v>1192</v>
      </c>
      <c r="C103" s="605"/>
      <c r="D103" s="667"/>
      <c r="F103" s="414"/>
      <c r="G103" s="658">
        <f t="shared" si="15"/>
        <v>0</v>
      </c>
      <c r="H103" s="502"/>
      <c r="I103" s="420"/>
    </row>
    <row r="104" spans="2:9">
      <c r="B104" s="671" t="s">
        <v>1192</v>
      </c>
      <c r="C104" s="605"/>
      <c r="D104" s="667"/>
      <c r="F104" s="414"/>
      <c r="G104" s="658">
        <f t="shared" si="15"/>
        <v>0</v>
      </c>
      <c r="H104" s="502"/>
      <c r="I104" s="420"/>
    </row>
    <row r="105" spans="2:9">
      <c r="B105" s="671" t="s">
        <v>1192</v>
      </c>
      <c r="C105" s="605"/>
      <c r="D105" s="667"/>
      <c r="F105" s="414"/>
      <c r="G105" s="658">
        <f t="shared" si="15"/>
        <v>0</v>
      </c>
      <c r="H105" s="502"/>
      <c r="I105" s="420"/>
    </row>
    <row r="106" spans="2:9">
      <c r="B106" s="660" t="str">
        <f>B93</f>
        <v>Additional Items</v>
      </c>
      <c r="C106" s="661"/>
      <c r="D106" s="661"/>
      <c r="E106" s="661"/>
      <c r="F106" s="663"/>
      <c r="G106" s="664">
        <f>SUM(G94:G105)</f>
        <v>0</v>
      </c>
      <c r="H106" s="502"/>
      <c r="I106" s="420"/>
    </row>
  </sheetData>
  <sheetProtection algorithmName="SHA-512" hashValue="dOr3p6OCnrc5wM9uXlpajYSnMTa0gWcB+aDPiXOZqN+qn/iZH4cYItQoXBtTjMVEMAD0FWoVusa6hx2dYnWfkA==" saltValue="0+9oo3kb8ewkHk/IACSRCQ==" spinCount="100000" sheet="1" objects="1" scenarios="1" autoFilter="0"/>
  <conditionalFormatting sqref="F10:F15">
    <cfRule type="notContainsBlanks" dxfId="16" priority="1">
      <formula>LEN(TRIM(F10))&gt;0</formula>
    </cfRule>
  </conditionalFormatting>
  <conditionalFormatting sqref="F18:F24">
    <cfRule type="notContainsBlanks" dxfId="15" priority="5">
      <formula>LEN(TRIM(F18))&gt;0</formula>
    </cfRule>
  </conditionalFormatting>
  <conditionalFormatting sqref="F27:F30">
    <cfRule type="notContainsBlanks" dxfId="14" priority="3">
      <formula>LEN(TRIM(F27))&gt;0</formula>
    </cfRule>
  </conditionalFormatting>
  <conditionalFormatting sqref="F33:F35">
    <cfRule type="notContainsBlanks" dxfId="13" priority="7">
      <formula>LEN(TRIM(F33))&gt;0</formula>
    </cfRule>
  </conditionalFormatting>
  <conditionalFormatting sqref="F38:F40">
    <cfRule type="notContainsBlanks" dxfId="12" priority="9">
      <formula>LEN(TRIM(F38))&gt;0</formula>
    </cfRule>
  </conditionalFormatting>
  <conditionalFormatting sqref="F44:F50">
    <cfRule type="notContainsBlanks" dxfId="11" priority="11">
      <formula>LEN(TRIM(F44))&gt;0</formula>
    </cfRule>
  </conditionalFormatting>
  <conditionalFormatting sqref="F54:F72">
    <cfRule type="notContainsBlanks" dxfId="10" priority="13">
      <formula>LEN(TRIM(F54))&gt;0</formula>
    </cfRule>
  </conditionalFormatting>
  <conditionalFormatting sqref="F76:F81">
    <cfRule type="notContainsBlanks" dxfId="9" priority="15">
      <formula>LEN(TRIM(F76))&gt;0</formula>
    </cfRule>
  </conditionalFormatting>
  <conditionalFormatting sqref="F84:F91">
    <cfRule type="notContainsBlanks" dxfId="8" priority="17">
      <formula>LEN(TRIM(F84))&gt;0</formula>
    </cfRule>
  </conditionalFormatting>
  <conditionalFormatting sqref="F94:F105">
    <cfRule type="notContainsBlanks" dxfId="7" priority="19">
      <formula>LEN(TRIM(F94))&gt;0</formula>
    </cfRule>
  </conditionalFormatting>
  <dataValidations count="1">
    <dataValidation type="list" allowBlank="1" showInputMessage="1" showErrorMessage="1" sqref="B84:B92" xr:uid="{2984053A-B3C8-4A98-8915-7AD0C71DCF2E}">
      <formula1>Mobe_names_CS</formula1>
    </dataValidation>
  </dataValidations>
  <hyperlinks>
    <hyperlink ref="E5" location="RCE_Summary" display="RCE Summary" xr:uid="{E960A4E5-5C1A-4979-AAC9-9132C361ADCB}"/>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280EC-FC6A-423D-AE3B-351701F3E701}">
  <sheetPr codeName="Sheet18">
    <tabColor theme="5" tint="0.39997558519241921"/>
  </sheetPr>
  <dimension ref="B2:J1114"/>
  <sheetViews>
    <sheetView showGridLines="0" zoomScaleNormal="100" workbookViewId="0">
      <pane ySplit="6" topLeftCell="A7" activePane="bottomLeft" state="frozen"/>
      <selection activeCell="N931" sqref="N931"/>
      <selection pane="bottomLeft"/>
    </sheetView>
  </sheetViews>
  <sheetFormatPr defaultColWidth="8.7109375" defaultRowHeight="12.75"/>
  <cols>
    <col min="1" max="1" width="2.85546875" style="231" customWidth="1"/>
    <col min="2" max="2" width="10.140625" style="231" customWidth="1"/>
    <col min="3" max="3" width="78.7109375" style="231" customWidth="1"/>
    <col min="4" max="4" width="13" style="231" customWidth="1"/>
    <col min="5" max="5" width="16.7109375" style="231" bestFit="1" customWidth="1"/>
    <col min="6" max="7" width="58.7109375" style="674" bestFit="1" customWidth="1"/>
    <col min="8" max="8" width="13" style="231" customWidth="1"/>
    <col min="9" max="12" width="12.140625" style="231" customWidth="1"/>
    <col min="13" max="16384" width="8.7109375" style="231"/>
  </cols>
  <sheetData>
    <row r="2" spans="2:7" ht="15.75">
      <c r="C2" s="232" t="str">
        <f>Name_main</f>
        <v>Rehabilitation Cost Estimate Tool - Mining New South Wales</v>
      </c>
      <c r="F2" s="231"/>
    </row>
    <row r="3" spans="2:7" ht="25.5" customHeight="1">
      <c r="C3" s="271" t="str">
        <f>CONCATENATE(CompanyName," - ",Mine_Name)</f>
        <v>Boral Cement - Marulan South Limestone Mine</v>
      </c>
    </row>
    <row r="4" spans="2:7" ht="27.95" customHeight="1">
      <c r="C4" s="675" t="s">
        <v>1193</v>
      </c>
      <c r="D4" s="259" t="s">
        <v>1</v>
      </c>
    </row>
    <row r="5" spans="2:7">
      <c r="B5" s="15"/>
    </row>
    <row r="6" spans="2:7" ht="15.75" thickBot="1">
      <c r="B6" s="15" t="str">
        <f>G</f>
        <v>G</v>
      </c>
      <c r="C6" s="676" t="s">
        <v>1194</v>
      </c>
      <c r="D6" s="676" t="s">
        <v>826</v>
      </c>
      <c r="E6" s="676" t="s">
        <v>353</v>
      </c>
      <c r="F6" s="677" t="s">
        <v>1195</v>
      </c>
      <c r="G6" s="677" t="s">
        <v>1196</v>
      </c>
    </row>
    <row r="7" spans="2:7">
      <c r="B7" s="15"/>
    </row>
    <row r="8" spans="2:7" ht="15.75" thickBot="1">
      <c r="B8" s="231" t="s">
        <v>1197</v>
      </c>
      <c r="C8" s="678" t="s">
        <v>1198</v>
      </c>
      <c r="D8" s="679"/>
      <c r="E8" s="679"/>
      <c r="F8" s="680"/>
      <c r="G8" s="680"/>
    </row>
    <row r="9" spans="2:7" ht="39" thickBot="1">
      <c r="B9" s="15" t="s">
        <v>1199</v>
      </c>
      <c r="C9" s="681" t="s">
        <v>1200</v>
      </c>
      <c r="D9" s="682">
        <v>2323.4444444444448</v>
      </c>
      <c r="E9" s="683" t="s">
        <v>299</v>
      </c>
      <c r="F9" s="684" t="s">
        <v>1201</v>
      </c>
      <c r="G9" s="685" t="s">
        <v>1202</v>
      </c>
    </row>
    <row r="10" spans="2:7" ht="52.5" thickTop="1" thickBot="1">
      <c r="C10" s="681" t="s">
        <v>1203</v>
      </c>
      <c r="D10" s="682">
        <v>2465.3686535543015</v>
      </c>
      <c r="E10" s="683" t="s">
        <v>299</v>
      </c>
      <c r="F10" s="684" t="s">
        <v>1204</v>
      </c>
      <c r="G10" s="685" t="s">
        <v>1202</v>
      </c>
    </row>
    <row r="11" spans="2:7" ht="52.5" thickTop="1" thickBot="1">
      <c r="C11" s="681" t="s">
        <v>1205</v>
      </c>
      <c r="D11" s="682">
        <v>2496.9838117323302</v>
      </c>
      <c r="E11" s="683" t="s">
        <v>299</v>
      </c>
      <c r="F11" s="684" t="s">
        <v>1206</v>
      </c>
      <c r="G11" s="685" t="s">
        <v>1202</v>
      </c>
    </row>
    <row r="12" spans="2:7" ht="52.5" thickTop="1" thickBot="1">
      <c r="C12" s="681" t="s">
        <v>1207</v>
      </c>
      <c r="D12" s="682">
        <v>6188.4550566415755</v>
      </c>
      <c r="E12" s="683" t="s">
        <v>299</v>
      </c>
      <c r="F12" s="684" t="s">
        <v>1208</v>
      </c>
      <c r="G12" s="685" t="s">
        <v>1202</v>
      </c>
    </row>
    <row r="13" spans="2:7" ht="52.5" thickTop="1" thickBot="1">
      <c r="C13" s="681" t="s">
        <v>1209</v>
      </c>
      <c r="D13" s="682">
        <v>2597.3946246641581</v>
      </c>
      <c r="E13" s="683" t="s">
        <v>299</v>
      </c>
      <c r="F13" s="684" t="s">
        <v>1210</v>
      </c>
      <c r="G13" s="685" t="s">
        <v>1202</v>
      </c>
    </row>
    <row r="14" spans="2:7" ht="52.5" thickTop="1" thickBot="1">
      <c r="C14" s="681" t="s">
        <v>1211</v>
      </c>
      <c r="D14" s="682">
        <v>2664.0279925376276</v>
      </c>
      <c r="E14" s="683" t="s">
        <v>299</v>
      </c>
      <c r="F14" s="684" t="s">
        <v>1212</v>
      </c>
      <c r="G14" s="685" t="s">
        <v>1202</v>
      </c>
    </row>
    <row r="15" spans="2:7" ht="52.5" thickTop="1" thickBot="1">
      <c r="C15" s="681" t="s">
        <v>1213</v>
      </c>
      <c r="D15" s="682">
        <v>2374.4214128088392</v>
      </c>
      <c r="E15" s="683" t="s">
        <v>299</v>
      </c>
      <c r="F15" s="684" t="s">
        <v>1214</v>
      </c>
      <c r="G15" s="685" t="s">
        <v>1202</v>
      </c>
    </row>
    <row r="16" spans="2:7" ht="16.5" thickTop="1" thickBot="1">
      <c r="B16" s="15" t="s">
        <v>1199</v>
      </c>
      <c r="C16" s="678" t="s">
        <v>1215</v>
      </c>
      <c r="D16" s="679"/>
      <c r="E16" s="679"/>
      <c r="F16" s="680"/>
      <c r="G16" s="680"/>
    </row>
    <row r="17" spans="2:7" ht="28.5" customHeight="1" thickBot="1">
      <c r="C17" s="681" t="s">
        <v>527</v>
      </c>
      <c r="D17" s="25">
        <v>7605.3799200000003</v>
      </c>
      <c r="E17" s="683" t="s">
        <v>1216</v>
      </c>
      <c r="F17" s="684" t="s">
        <v>1217</v>
      </c>
      <c r="G17" s="685" t="s">
        <v>1218</v>
      </c>
    </row>
    <row r="18" spans="2:7" ht="28.5" customHeight="1" thickTop="1" thickBot="1">
      <c r="C18" s="681" t="s">
        <v>1219</v>
      </c>
      <c r="D18" s="25">
        <v>19548.886030000001</v>
      </c>
      <c r="E18" s="683" t="s">
        <v>1216</v>
      </c>
      <c r="F18" s="684" t="s">
        <v>1220</v>
      </c>
      <c r="G18" s="685" t="s">
        <v>1218</v>
      </c>
    </row>
    <row r="19" spans="2:7" ht="28.5" customHeight="1" thickTop="1" thickBot="1">
      <c r="C19" s="681" t="s">
        <v>1221</v>
      </c>
      <c r="D19" s="25">
        <v>17483.632000000001</v>
      </c>
      <c r="E19" s="683" t="s">
        <v>1216</v>
      </c>
      <c r="F19" s="684" t="s">
        <v>1222</v>
      </c>
      <c r="G19" s="685" t="s">
        <v>1218</v>
      </c>
    </row>
    <row r="20" spans="2:7" ht="28.5" customHeight="1" thickTop="1" thickBot="1">
      <c r="C20" s="681" t="s">
        <v>526</v>
      </c>
      <c r="D20" s="25">
        <v>38245.445</v>
      </c>
      <c r="E20" s="683" t="s">
        <v>1216</v>
      </c>
      <c r="F20" s="684" t="s">
        <v>1223</v>
      </c>
      <c r="G20" s="685" t="s">
        <v>1218</v>
      </c>
    </row>
    <row r="21" spans="2:7" ht="28.5" customHeight="1" thickTop="1" thickBot="1">
      <c r="C21" s="681" t="s">
        <v>528</v>
      </c>
      <c r="D21" s="25">
        <v>49172.715000000004</v>
      </c>
      <c r="E21" s="683" t="s">
        <v>1216</v>
      </c>
      <c r="F21" s="684" t="s">
        <v>1224</v>
      </c>
      <c r="G21" s="685" t="s">
        <v>1218</v>
      </c>
    </row>
    <row r="22" spans="2:7" ht="45.95" customHeight="1" thickTop="1" thickBot="1">
      <c r="C22" s="681" t="s">
        <v>1136</v>
      </c>
      <c r="D22" s="25">
        <v>6738.5269213197498</v>
      </c>
      <c r="E22" s="683" t="s">
        <v>1216</v>
      </c>
      <c r="F22" s="686" t="s">
        <v>1225</v>
      </c>
      <c r="G22" s="685" t="s">
        <v>1218</v>
      </c>
    </row>
    <row r="23" spans="2:7" ht="28.5" customHeight="1" thickTop="1" thickBot="1">
      <c r="C23" s="681" t="s">
        <v>1226</v>
      </c>
      <c r="D23" s="25">
        <v>6070.9384824319186</v>
      </c>
      <c r="E23" s="683" t="s">
        <v>1216</v>
      </c>
      <c r="F23" s="685" t="s">
        <v>1227</v>
      </c>
      <c r="G23" s="685" t="s">
        <v>1218</v>
      </c>
    </row>
    <row r="24" spans="2:7" ht="39.75" thickTop="1" thickBot="1">
      <c r="C24" s="681" t="s">
        <v>1137</v>
      </c>
      <c r="D24" s="25">
        <v>46.440897499999998</v>
      </c>
      <c r="E24" s="683" t="s">
        <v>1216</v>
      </c>
      <c r="F24" s="685" t="s">
        <v>1228</v>
      </c>
      <c r="G24" s="685" t="s">
        <v>1218</v>
      </c>
    </row>
    <row r="25" spans="2:7" ht="39" customHeight="1" thickTop="1" thickBot="1">
      <c r="C25" s="681" t="s">
        <v>1135</v>
      </c>
      <c r="D25" s="25">
        <v>6228.5438999999997</v>
      </c>
      <c r="E25" s="683" t="s">
        <v>1216</v>
      </c>
      <c r="F25" s="685" t="s">
        <v>1229</v>
      </c>
      <c r="G25" s="685" t="s">
        <v>1218</v>
      </c>
    </row>
    <row r="26" spans="2:7" ht="39.75" thickTop="1" thickBot="1">
      <c r="C26" s="681" t="s">
        <v>1138</v>
      </c>
      <c r="D26" s="25">
        <v>2261.9448900000002</v>
      </c>
      <c r="E26" s="683" t="s">
        <v>1216</v>
      </c>
      <c r="F26" s="684" t="s">
        <v>1230</v>
      </c>
      <c r="G26" s="685" t="s">
        <v>1218</v>
      </c>
    </row>
    <row r="27" spans="2:7" ht="28.5" customHeight="1" thickTop="1" thickBot="1">
      <c r="C27" s="681" t="s">
        <v>1139</v>
      </c>
      <c r="D27" s="25">
        <v>453.48170499999998</v>
      </c>
      <c r="E27" s="683" t="s">
        <v>1216</v>
      </c>
      <c r="F27" s="684" t="s">
        <v>1231</v>
      </c>
      <c r="G27" s="685" t="s">
        <v>1218</v>
      </c>
    </row>
    <row r="28" spans="2:7" ht="16.5" thickTop="1" thickBot="1">
      <c r="B28" s="15" t="s">
        <v>1199</v>
      </c>
      <c r="C28" s="678" t="s">
        <v>1232</v>
      </c>
      <c r="D28" s="679"/>
      <c r="E28" s="679"/>
      <c r="F28" s="680"/>
      <c r="G28" s="680"/>
    </row>
    <row r="29" spans="2:7" ht="90" thickBot="1">
      <c r="C29" s="681" t="s">
        <v>458</v>
      </c>
      <c r="D29" s="21">
        <v>118.416618727074</v>
      </c>
      <c r="E29" s="683" t="s">
        <v>215</v>
      </c>
      <c r="F29" s="685" t="s">
        <v>1233</v>
      </c>
      <c r="G29" s="685" t="s">
        <v>1234</v>
      </c>
    </row>
    <row r="30" spans="2:7" ht="90.75" thickTop="1" thickBot="1">
      <c r="C30" s="681" t="s">
        <v>468</v>
      </c>
      <c r="D30" s="21">
        <v>59.264328063962871</v>
      </c>
      <c r="E30" s="683" t="s">
        <v>215</v>
      </c>
      <c r="F30" s="685" t="s">
        <v>1235</v>
      </c>
      <c r="G30" s="685" t="s">
        <v>1234</v>
      </c>
    </row>
    <row r="31" spans="2:7" ht="78" thickTop="1" thickBot="1">
      <c r="C31" s="681" t="s">
        <v>460</v>
      </c>
      <c r="D31" s="21">
        <v>60.989623744056871</v>
      </c>
      <c r="E31" s="683" t="s">
        <v>215</v>
      </c>
      <c r="F31" s="685" t="s">
        <v>1236</v>
      </c>
      <c r="G31" s="685" t="s">
        <v>1234</v>
      </c>
    </row>
    <row r="32" spans="2:7" ht="78" thickTop="1" thickBot="1">
      <c r="C32" s="681" t="s">
        <v>1237</v>
      </c>
      <c r="D32" s="21">
        <v>115.39543165133909</v>
      </c>
      <c r="E32" s="683" t="s">
        <v>215</v>
      </c>
      <c r="F32" s="685" t="s">
        <v>1238</v>
      </c>
      <c r="G32" s="685" t="s">
        <v>1234</v>
      </c>
    </row>
    <row r="33" spans="2:7" ht="27" thickTop="1" thickBot="1">
      <c r="C33" s="681" t="s">
        <v>462</v>
      </c>
      <c r="D33" s="21">
        <v>1532.5653410452928</v>
      </c>
      <c r="E33" s="683" t="s">
        <v>1239</v>
      </c>
      <c r="F33" s="685" t="s">
        <v>1240</v>
      </c>
      <c r="G33" s="685" t="s">
        <v>1241</v>
      </c>
    </row>
    <row r="34" spans="2:7" ht="27" thickTop="1" thickBot="1">
      <c r="C34" s="681" t="s">
        <v>463</v>
      </c>
      <c r="D34" s="687">
        <v>829.92240025237618</v>
      </c>
      <c r="E34" s="683" t="s">
        <v>1239</v>
      </c>
      <c r="F34" s="685" t="s">
        <v>1240</v>
      </c>
      <c r="G34" s="685" t="s">
        <v>1241</v>
      </c>
    </row>
    <row r="35" spans="2:7" ht="27" thickTop="1" thickBot="1">
      <c r="C35" s="681" t="s">
        <v>464</v>
      </c>
      <c r="D35" s="687">
        <v>6156.3970671370253</v>
      </c>
      <c r="E35" s="683" t="s">
        <v>1239</v>
      </c>
      <c r="F35" s="685" t="s">
        <v>1242</v>
      </c>
      <c r="G35" s="685" t="s">
        <v>1241</v>
      </c>
    </row>
    <row r="36" spans="2:7" ht="27" thickTop="1" thickBot="1">
      <c r="C36" s="681" t="s">
        <v>461</v>
      </c>
      <c r="D36" s="687">
        <v>3074.4182818382092</v>
      </c>
      <c r="E36" s="683" t="s">
        <v>1239</v>
      </c>
      <c r="F36" s="685" t="s">
        <v>1240</v>
      </c>
      <c r="G36" s="685" t="s">
        <v>1241</v>
      </c>
    </row>
    <row r="37" spans="2:7" ht="52.5" thickTop="1" thickBot="1">
      <c r="C37" s="681" t="s">
        <v>459</v>
      </c>
      <c r="D37" s="688">
        <v>57.633500017526131</v>
      </c>
      <c r="E37" s="683" t="s">
        <v>215</v>
      </c>
      <c r="F37" s="685" t="s">
        <v>1240</v>
      </c>
      <c r="G37" s="685" t="s">
        <v>1243</v>
      </c>
    </row>
    <row r="38" spans="2:7" ht="16.5" thickTop="1" thickBot="1">
      <c r="B38" s="15" t="s">
        <v>1199</v>
      </c>
      <c r="C38" s="678" t="s">
        <v>1244</v>
      </c>
      <c r="D38" s="679"/>
      <c r="E38" s="679"/>
      <c r="F38" s="680"/>
      <c r="G38" s="680"/>
    </row>
    <row r="39" spans="2:7" ht="102.75" thickBot="1">
      <c r="C39" s="681" t="s">
        <v>725</v>
      </c>
      <c r="D39" s="687">
        <v>94.767705913055508</v>
      </c>
      <c r="E39" s="683" t="s">
        <v>1245</v>
      </c>
      <c r="F39" s="684" t="s">
        <v>1246</v>
      </c>
      <c r="G39" s="685" t="s">
        <v>1247</v>
      </c>
    </row>
    <row r="40" spans="2:7" ht="78" thickTop="1" thickBot="1">
      <c r="C40" s="681" t="s">
        <v>726</v>
      </c>
      <c r="D40" s="687">
        <v>151.01003590520261</v>
      </c>
      <c r="E40" s="683" t="s">
        <v>1245</v>
      </c>
      <c r="F40" s="684" t="s">
        <v>1248</v>
      </c>
      <c r="G40" s="685" t="s">
        <v>1249</v>
      </c>
    </row>
    <row r="41" spans="2:7" ht="78" thickTop="1" thickBot="1">
      <c r="C41" s="681" t="s">
        <v>727</v>
      </c>
      <c r="D41" s="687">
        <v>251.05327281475047</v>
      </c>
      <c r="E41" s="231" t="s">
        <v>1245</v>
      </c>
      <c r="F41" s="684" t="s">
        <v>1250</v>
      </c>
      <c r="G41" s="685" t="s">
        <v>1251</v>
      </c>
    </row>
    <row r="42" spans="2:7" ht="78" thickTop="1" thickBot="1">
      <c r="C42" s="681" t="s">
        <v>728</v>
      </c>
      <c r="D42" s="687">
        <v>251.05327281475047</v>
      </c>
      <c r="E42" s="231" t="s">
        <v>1245</v>
      </c>
      <c r="F42" s="684" t="s">
        <v>1250</v>
      </c>
      <c r="G42" s="685" t="s">
        <v>1251</v>
      </c>
    </row>
    <row r="43" spans="2:7" ht="16.5" thickTop="1" thickBot="1">
      <c r="B43" s="15" t="s">
        <v>1199</v>
      </c>
      <c r="C43" s="678" t="s">
        <v>1252</v>
      </c>
      <c r="D43" s="679"/>
      <c r="E43" s="679"/>
      <c r="F43" s="680"/>
      <c r="G43" s="680"/>
    </row>
    <row r="44" spans="2:7" ht="39" thickBot="1">
      <c r="C44" s="689" t="s">
        <v>1253</v>
      </c>
      <c r="D44" s="21">
        <v>11.545720840784314</v>
      </c>
      <c r="E44" s="231" t="s">
        <v>211</v>
      </c>
      <c r="F44" s="684" t="s">
        <v>1254</v>
      </c>
      <c r="G44" s="685" t="s">
        <v>1255</v>
      </c>
    </row>
    <row r="45" spans="2:7" ht="16.5" thickTop="1" thickBot="1">
      <c r="B45" s="15" t="s">
        <v>1199</v>
      </c>
      <c r="C45" s="678" t="s">
        <v>1256</v>
      </c>
      <c r="D45" s="679"/>
      <c r="E45" s="679"/>
      <c r="F45" s="680"/>
      <c r="G45" s="680"/>
    </row>
    <row r="46" spans="2:7" ht="39" thickBot="1">
      <c r="C46" s="681" t="s">
        <v>1257</v>
      </c>
      <c r="D46" s="682">
        <v>8616.7643654301646</v>
      </c>
      <c r="E46" s="683" t="s">
        <v>299</v>
      </c>
      <c r="F46" s="684" t="s">
        <v>1258</v>
      </c>
      <c r="G46" s="685" t="s">
        <v>1259</v>
      </c>
    </row>
    <row r="47" spans="2:7" ht="16.5" thickTop="1" thickBot="1">
      <c r="C47" s="681" t="s">
        <v>1260</v>
      </c>
      <c r="D47" s="25">
        <v>5.2445056723647641</v>
      </c>
      <c r="E47" s="683" t="s">
        <v>219</v>
      </c>
      <c r="F47" s="684" t="s">
        <v>1261</v>
      </c>
      <c r="G47" s="685" t="s">
        <v>1262</v>
      </c>
    </row>
    <row r="48" spans="2:7" ht="16.5" thickTop="1" thickBot="1">
      <c r="B48" s="15" t="s">
        <v>1199</v>
      </c>
      <c r="C48" s="678" t="s">
        <v>1263</v>
      </c>
      <c r="D48" s="679"/>
      <c r="E48" s="679"/>
      <c r="F48" s="680"/>
      <c r="G48" s="680"/>
    </row>
    <row r="49" spans="2:7" ht="30" customHeight="1" thickBot="1">
      <c r="C49" s="681" t="s">
        <v>822</v>
      </c>
      <c r="D49" s="682">
        <v>25335</v>
      </c>
      <c r="E49" s="683" t="s">
        <v>299</v>
      </c>
      <c r="F49" s="684" t="s">
        <v>1264</v>
      </c>
      <c r="G49" s="685" t="s">
        <v>1265</v>
      </c>
    </row>
    <row r="50" spans="2:7" ht="30" customHeight="1" thickTop="1" thickBot="1">
      <c r="C50" s="681" t="s">
        <v>823</v>
      </c>
      <c r="D50" s="682">
        <v>264610</v>
      </c>
      <c r="E50" s="683" t="s">
        <v>299</v>
      </c>
      <c r="F50" s="684" t="s">
        <v>1266</v>
      </c>
      <c r="G50" s="685" t="s">
        <v>1265</v>
      </c>
    </row>
    <row r="51" spans="2:7" ht="30" customHeight="1" thickTop="1" thickBot="1">
      <c r="C51" s="681" t="s">
        <v>824</v>
      </c>
      <c r="D51" s="682">
        <v>1277871.2549530484</v>
      </c>
      <c r="E51" s="683" t="s">
        <v>299</v>
      </c>
      <c r="F51" s="684" t="s">
        <v>1267</v>
      </c>
      <c r="G51" s="685" t="s">
        <v>1265</v>
      </c>
    </row>
    <row r="52" spans="2:7" ht="30" customHeight="1" thickTop="1" thickBot="1">
      <c r="C52" s="681" t="s">
        <v>828</v>
      </c>
      <c r="D52" s="682">
        <v>1056.2716109999999</v>
      </c>
      <c r="E52" s="683" t="s">
        <v>299</v>
      </c>
      <c r="F52" s="684" t="s">
        <v>1268</v>
      </c>
      <c r="G52" s="685" t="s">
        <v>1269</v>
      </c>
    </row>
    <row r="53" spans="2:7" ht="16.5" thickTop="1" thickBot="1">
      <c r="B53" s="15" t="s">
        <v>1199</v>
      </c>
      <c r="C53" s="678" t="s">
        <v>1270</v>
      </c>
      <c r="D53" s="679"/>
      <c r="E53" s="679"/>
      <c r="F53" s="680"/>
      <c r="G53" s="680"/>
    </row>
    <row r="54" spans="2:7" ht="15.75" thickBot="1">
      <c r="C54" s="681" t="s">
        <v>842</v>
      </c>
      <c r="D54" s="682">
        <v>1000</v>
      </c>
      <c r="E54" s="683" t="s">
        <v>299</v>
      </c>
      <c r="F54" s="921" t="s">
        <v>1271</v>
      </c>
      <c r="G54" s="924" t="s">
        <v>1272</v>
      </c>
    </row>
    <row r="55" spans="2:7" ht="16.5" thickTop="1" thickBot="1">
      <c r="C55" s="681" t="s">
        <v>841</v>
      </c>
      <c r="D55" s="682">
        <v>1900</v>
      </c>
      <c r="E55" s="683" t="s">
        <v>299</v>
      </c>
      <c r="F55" s="922"/>
      <c r="G55" s="925"/>
    </row>
    <row r="56" spans="2:7" ht="16.5" thickTop="1" thickBot="1">
      <c r="C56" s="681" t="s">
        <v>840</v>
      </c>
      <c r="D56" s="682">
        <v>3150</v>
      </c>
      <c r="E56" s="683" t="s">
        <v>299</v>
      </c>
      <c r="F56" s="922"/>
      <c r="G56" s="925"/>
    </row>
    <row r="57" spans="2:7" ht="16.5" thickTop="1" thickBot="1">
      <c r="C57" s="681" t="s">
        <v>839</v>
      </c>
      <c r="D57" s="682">
        <v>3650</v>
      </c>
      <c r="E57" s="683" t="s">
        <v>299</v>
      </c>
      <c r="F57" s="922"/>
      <c r="G57" s="925"/>
    </row>
    <row r="58" spans="2:7" ht="16.5" thickTop="1" thickBot="1">
      <c r="C58" s="681" t="s">
        <v>838</v>
      </c>
      <c r="D58" s="682">
        <v>4900</v>
      </c>
      <c r="E58" s="683" t="s">
        <v>299</v>
      </c>
      <c r="F58" s="922"/>
      <c r="G58" s="925"/>
    </row>
    <row r="59" spans="2:7" ht="16.5" thickTop="1" thickBot="1">
      <c r="C59" s="681" t="s">
        <v>704</v>
      </c>
      <c r="D59" s="682">
        <v>650</v>
      </c>
      <c r="E59" s="683" t="s">
        <v>299</v>
      </c>
      <c r="F59" s="922"/>
      <c r="G59" s="925"/>
    </row>
    <row r="60" spans="2:7" ht="16.5" thickTop="1" thickBot="1">
      <c r="C60" s="681" t="s">
        <v>1273</v>
      </c>
      <c r="D60" s="682">
        <v>1550</v>
      </c>
      <c r="E60" s="683" t="s">
        <v>299</v>
      </c>
      <c r="F60" s="922"/>
      <c r="G60" s="925"/>
    </row>
    <row r="61" spans="2:7" ht="16.5" thickTop="1" thickBot="1">
      <c r="C61" s="681" t="s">
        <v>703</v>
      </c>
      <c r="D61" s="682">
        <v>2075</v>
      </c>
      <c r="E61" s="683" t="s">
        <v>299</v>
      </c>
      <c r="F61" s="922"/>
      <c r="G61" s="925"/>
    </row>
    <row r="62" spans="2:7" ht="16.5" thickTop="1" thickBot="1">
      <c r="C62" s="681" t="s">
        <v>702</v>
      </c>
      <c r="D62" s="682">
        <v>2850</v>
      </c>
      <c r="E62" s="683" t="s">
        <v>299</v>
      </c>
      <c r="F62" s="922"/>
      <c r="G62" s="925"/>
    </row>
    <row r="63" spans="2:7" ht="16.5" thickTop="1" thickBot="1">
      <c r="C63" s="681" t="s">
        <v>1274</v>
      </c>
      <c r="D63" s="682">
        <v>550</v>
      </c>
      <c r="E63" s="683" t="s">
        <v>299</v>
      </c>
      <c r="F63" s="922"/>
      <c r="G63" s="925"/>
    </row>
    <row r="64" spans="2:7" ht="16.5" thickTop="1" thickBot="1">
      <c r="C64" s="681" t="s">
        <v>1015</v>
      </c>
      <c r="D64" s="682">
        <v>1500</v>
      </c>
      <c r="E64" s="683" t="s">
        <v>299</v>
      </c>
      <c r="F64" s="922"/>
      <c r="G64" s="925"/>
    </row>
    <row r="65" spans="2:7" ht="16.5" thickTop="1" thickBot="1">
      <c r="C65" s="681" t="s">
        <v>1275</v>
      </c>
      <c r="D65" s="682">
        <v>1625</v>
      </c>
      <c r="E65" s="683" t="s">
        <v>299</v>
      </c>
      <c r="F65" s="922"/>
      <c r="G65" s="925"/>
    </row>
    <row r="66" spans="2:7" ht="16.5" thickTop="1" thickBot="1">
      <c r="C66" s="681" t="s">
        <v>1017</v>
      </c>
      <c r="D66" s="682">
        <v>2600</v>
      </c>
      <c r="E66" s="683" t="s">
        <v>299</v>
      </c>
      <c r="F66" s="923"/>
      <c r="G66" s="926"/>
    </row>
    <row r="67" spans="2:7" ht="16.5" thickTop="1" thickBot="1">
      <c r="B67" s="15" t="s">
        <v>1199</v>
      </c>
      <c r="C67" s="678" t="s">
        <v>1178</v>
      </c>
      <c r="D67" s="679"/>
      <c r="E67" s="679"/>
      <c r="F67" s="680"/>
      <c r="G67" s="680"/>
    </row>
    <row r="68" spans="2:7" ht="39" thickBot="1">
      <c r="C68" s="681" t="s">
        <v>1276</v>
      </c>
      <c r="D68" s="24">
        <v>47135.463876488095</v>
      </c>
      <c r="E68" s="683" t="s">
        <v>1277</v>
      </c>
      <c r="F68" s="684" t="s">
        <v>1278</v>
      </c>
      <c r="G68" s="685" t="s">
        <v>1279</v>
      </c>
    </row>
    <row r="69" spans="2:7" ht="52.5" thickTop="1" thickBot="1">
      <c r="C69" s="681" t="s">
        <v>1280</v>
      </c>
      <c r="D69" s="24">
        <v>316702.66953071579</v>
      </c>
      <c r="E69" s="683" t="s">
        <v>1277</v>
      </c>
      <c r="F69" s="684" t="s">
        <v>1281</v>
      </c>
      <c r="G69" s="685" t="s">
        <v>1282</v>
      </c>
    </row>
    <row r="70" spans="2:7" ht="16.5" thickTop="1" thickBot="1">
      <c r="B70" s="15" t="s">
        <v>1199</v>
      </c>
      <c r="C70" s="678" t="s">
        <v>1283</v>
      </c>
      <c r="D70" s="679"/>
      <c r="E70" s="679"/>
      <c r="F70" s="680"/>
      <c r="G70" s="680"/>
    </row>
    <row r="71" spans="2:7" ht="15.75" thickBot="1">
      <c r="C71" s="681" t="s">
        <v>1284</v>
      </c>
      <c r="D71" s="687">
        <v>729.79294810707802</v>
      </c>
      <c r="E71" s="231" t="s">
        <v>299</v>
      </c>
      <c r="F71" s="684" t="s">
        <v>1285</v>
      </c>
      <c r="G71" s="685" t="s">
        <v>1286</v>
      </c>
    </row>
    <row r="72" spans="2:7" ht="16.5" thickTop="1" thickBot="1">
      <c r="B72" s="15" t="s">
        <v>1199</v>
      </c>
      <c r="C72" s="678" t="s">
        <v>1287</v>
      </c>
      <c r="D72" s="679"/>
      <c r="E72" s="679"/>
      <c r="F72" s="680"/>
      <c r="G72" s="680"/>
    </row>
    <row r="73" spans="2:7" ht="141" thickBot="1">
      <c r="C73" s="681" t="s">
        <v>1288</v>
      </c>
      <c r="D73" s="687">
        <v>323472</v>
      </c>
      <c r="E73" s="683" t="s">
        <v>1289</v>
      </c>
      <c r="F73" s="685" t="s">
        <v>1290</v>
      </c>
      <c r="G73" s="685" t="s">
        <v>1291</v>
      </c>
    </row>
    <row r="74" spans="2:7" ht="154.5" thickTop="1" thickBot="1">
      <c r="C74" s="681" t="s">
        <v>1292</v>
      </c>
      <c r="D74" s="687">
        <v>113665.99999999999</v>
      </c>
      <c r="E74" s="683" t="s">
        <v>1289</v>
      </c>
      <c r="F74" s="685" t="s">
        <v>1293</v>
      </c>
      <c r="G74" s="685" t="s">
        <v>1294</v>
      </c>
    </row>
    <row r="75" spans="2:7" ht="180" thickTop="1" thickBot="1">
      <c r="C75" s="681" t="s">
        <v>1295</v>
      </c>
      <c r="D75" s="687">
        <v>136666</v>
      </c>
      <c r="E75" s="683" t="s">
        <v>1289</v>
      </c>
      <c r="F75" s="685" t="s">
        <v>1296</v>
      </c>
      <c r="G75" s="685" t="s">
        <v>1297</v>
      </c>
    </row>
    <row r="76" spans="2:7" ht="167.25" thickTop="1" thickBot="1">
      <c r="C76" s="681" t="s">
        <v>1298</v>
      </c>
      <c r="D76" s="687">
        <v>100785.99999999999</v>
      </c>
      <c r="E76" s="683" t="s">
        <v>1289</v>
      </c>
      <c r="F76" s="685" t="s">
        <v>1299</v>
      </c>
      <c r="G76" s="685" t="s">
        <v>1300</v>
      </c>
    </row>
    <row r="77" spans="2:7" ht="129" thickTop="1" thickBot="1">
      <c r="C77" s="681" t="s">
        <v>1301</v>
      </c>
      <c r="D77" s="687">
        <v>16709.5</v>
      </c>
      <c r="E77" s="683" t="s">
        <v>1289</v>
      </c>
      <c r="F77" s="685" t="s">
        <v>1302</v>
      </c>
      <c r="G77" s="685" t="s">
        <v>1297</v>
      </c>
    </row>
    <row r="78" spans="2:7" ht="129" thickTop="1" thickBot="1">
      <c r="C78" s="681" t="s">
        <v>1303</v>
      </c>
      <c r="D78" s="687">
        <v>30141.499999999996</v>
      </c>
      <c r="E78" s="683" t="s">
        <v>1304</v>
      </c>
      <c r="F78" s="685" t="s">
        <v>1305</v>
      </c>
      <c r="G78" s="685" t="s">
        <v>1306</v>
      </c>
    </row>
    <row r="79" spans="2:7" ht="16.5" thickTop="1" thickBot="1">
      <c r="B79" s="15" t="s">
        <v>1199</v>
      </c>
      <c r="C79" s="678" t="s">
        <v>1307</v>
      </c>
      <c r="D79" s="679"/>
      <c r="E79" s="679"/>
      <c r="F79" s="680"/>
      <c r="G79" s="680"/>
    </row>
    <row r="80" spans="2:7" ht="90" thickBot="1">
      <c r="C80" s="681" t="s">
        <v>1308</v>
      </c>
      <c r="D80" s="21">
        <v>17818.916688475747</v>
      </c>
      <c r="E80" s="683" t="s">
        <v>1309</v>
      </c>
      <c r="F80" s="684" t="s">
        <v>1310</v>
      </c>
      <c r="G80" s="685" t="s">
        <v>1311</v>
      </c>
    </row>
    <row r="81" spans="2:7" ht="16.5" thickTop="1" thickBot="1">
      <c r="B81" s="15" t="s">
        <v>1199</v>
      </c>
      <c r="C81" s="678" t="s">
        <v>1312</v>
      </c>
      <c r="D81" s="679"/>
      <c r="E81" s="679"/>
      <c r="F81" s="680"/>
      <c r="G81" s="680"/>
    </row>
    <row r="82" spans="2:7" ht="51.75" thickBot="1">
      <c r="C82" s="681" t="s">
        <v>1313</v>
      </c>
      <c r="D82" s="21">
        <v>13.629584638842477</v>
      </c>
      <c r="E82" s="683" t="s">
        <v>221</v>
      </c>
      <c r="F82" s="685" t="s">
        <v>1314</v>
      </c>
      <c r="G82" s="685" t="s">
        <v>1315</v>
      </c>
    </row>
    <row r="83" spans="2:7" ht="52.5" thickTop="1" thickBot="1">
      <c r="C83" s="681" t="s">
        <v>510</v>
      </c>
      <c r="D83" s="21">
        <v>19.448751305509145</v>
      </c>
      <c r="E83" s="683" t="s">
        <v>221</v>
      </c>
      <c r="F83" s="685" t="s">
        <v>1316</v>
      </c>
      <c r="G83" s="685" t="s">
        <v>1315</v>
      </c>
    </row>
    <row r="84" spans="2:7" ht="52.5" thickTop="1" thickBot="1">
      <c r="C84" s="681" t="s">
        <v>511</v>
      </c>
      <c r="D84" s="21">
        <v>25.267917972175812</v>
      </c>
      <c r="E84" s="683" t="s">
        <v>221</v>
      </c>
      <c r="F84" s="685" t="s">
        <v>1317</v>
      </c>
      <c r="G84" s="685" t="s">
        <v>1315</v>
      </c>
    </row>
    <row r="85" spans="2:7" ht="16.5" thickTop="1" thickBot="1">
      <c r="B85" s="15" t="s">
        <v>1199</v>
      </c>
      <c r="C85" s="678" t="s">
        <v>1318</v>
      </c>
      <c r="D85" s="679"/>
      <c r="E85" s="679"/>
      <c r="F85" s="680"/>
      <c r="G85" s="680"/>
    </row>
    <row r="86" spans="2:7" ht="15.75" thickBot="1">
      <c r="C86" s="681" t="s">
        <v>1319</v>
      </c>
      <c r="D86" s="687">
        <v>4167.9054242873653</v>
      </c>
      <c r="E86" s="683" t="s">
        <v>1320</v>
      </c>
      <c r="F86" s="685" t="s">
        <v>1321</v>
      </c>
      <c r="G86" s="684" t="s">
        <v>1322</v>
      </c>
    </row>
    <row r="87" spans="2:7" ht="103.5" thickTop="1" thickBot="1">
      <c r="C87" s="681" t="s">
        <v>1323</v>
      </c>
      <c r="D87" s="687">
        <v>83.358108485747309</v>
      </c>
      <c r="E87" s="683" t="s">
        <v>219</v>
      </c>
      <c r="F87" s="684" t="s">
        <v>1324</v>
      </c>
      <c r="G87" s="685" t="s">
        <v>1325</v>
      </c>
    </row>
    <row r="88" spans="2:7" ht="39.75" thickTop="1" thickBot="1">
      <c r="C88" s="681" t="s">
        <v>595</v>
      </c>
      <c r="D88" s="687">
        <v>34.320540423513727</v>
      </c>
      <c r="E88" s="683" t="s">
        <v>219</v>
      </c>
      <c r="F88" s="685" t="s">
        <v>1326</v>
      </c>
      <c r="G88" s="685" t="s">
        <v>1327</v>
      </c>
    </row>
    <row r="89" spans="2:7" ht="52.5" thickTop="1" thickBot="1">
      <c r="C89" s="681" t="s">
        <v>596</v>
      </c>
      <c r="D89" s="687">
        <v>400</v>
      </c>
      <c r="E89" s="683" t="s">
        <v>221</v>
      </c>
      <c r="F89" s="684" t="s">
        <v>1328</v>
      </c>
      <c r="G89" s="685" t="s">
        <v>1325</v>
      </c>
    </row>
    <row r="90" spans="2:7" ht="16.5" thickTop="1" thickBot="1">
      <c r="B90" s="15" t="s">
        <v>1199</v>
      </c>
      <c r="C90" s="678" t="s">
        <v>1329</v>
      </c>
      <c r="D90" s="679"/>
      <c r="E90" s="679"/>
      <c r="F90" s="680"/>
      <c r="G90" s="680"/>
    </row>
    <row r="91" spans="2:7" ht="15.75" thickBot="1">
      <c r="C91" s="681" t="s">
        <v>1330</v>
      </c>
      <c r="D91" s="682">
        <v>16688.099999999999</v>
      </c>
      <c r="E91" s="683" t="s">
        <v>1331</v>
      </c>
      <c r="F91" s="685" t="s">
        <v>1332</v>
      </c>
      <c r="G91" s="685" t="s">
        <v>1333</v>
      </c>
    </row>
    <row r="92" spans="2:7" ht="27" thickTop="1" thickBot="1">
      <c r="C92" s="681" t="s">
        <v>1334</v>
      </c>
      <c r="D92" s="682">
        <v>35984.247499999998</v>
      </c>
      <c r="E92" s="683" t="s">
        <v>1335</v>
      </c>
      <c r="F92" s="685" t="s">
        <v>1336</v>
      </c>
      <c r="G92" s="685" t="s">
        <v>1337</v>
      </c>
    </row>
    <row r="93" spans="2:7" ht="27" thickTop="1" thickBot="1">
      <c r="C93" s="681" t="s">
        <v>1338</v>
      </c>
      <c r="D93" s="682">
        <v>3647.3318235000002</v>
      </c>
      <c r="E93" s="683" t="s">
        <v>299</v>
      </c>
      <c r="F93" s="685" t="s">
        <v>1339</v>
      </c>
      <c r="G93" s="685" t="s">
        <v>1340</v>
      </c>
    </row>
    <row r="94" spans="2:7" ht="16.5" thickTop="1" thickBot="1">
      <c r="C94" s="681" t="s">
        <v>1341</v>
      </c>
      <c r="D94" s="682">
        <v>37631.047500000001</v>
      </c>
      <c r="E94" s="683" t="s">
        <v>1342</v>
      </c>
      <c r="F94" s="685" t="s">
        <v>1332</v>
      </c>
      <c r="G94" s="685" t="s">
        <v>1343</v>
      </c>
    </row>
    <row r="95" spans="2:7" ht="16.5" thickTop="1" thickBot="1">
      <c r="C95" s="681" t="s">
        <v>1344</v>
      </c>
      <c r="D95" s="682">
        <v>63607.614999999998</v>
      </c>
      <c r="E95" s="683" t="s">
        <v>1342</v>
      </c>
      <c r="F95" s="685" t="s">
        <v>1332</v>
      </c>
      <c r="G95" s="685" t="s">
        <v>1343</v>
      </c>
    </row>
    <row r="96" spans="2:7" ht="16.5" thickTop="1" thickBot="1">
      <c r="C96" s="681" t="s">
        <v>1345</v>
      </c>
      <c r="D96" s="682">
        <v>37273.456174999999</v>
      </c>
      <c r="E96" s="683" t="s">
        <v>1342</v>
      </c>
      <c r="F96" s="685" t="s">
        <v>1332</v>
      </c>
      <c r="G96" s="685" t="s">
        <v>1346</v>
      </c>
    </row>
    <row r="97" spans="2:7" ht="16.5" thickTop="1" thickBot="1">
      <c r="B97" s="15" t="s">
        <v>1199</v>
      </c>
      <c r="C97" s="678" t="s">
        <v>1347</v>
      </c>
      <c r="D97" s="679"/>
      <c r="E97" s="679"/>
      <c r="F97" s="680"/>
      <c r="G97" s="680"/>
    </row>
    <row r="98" spans="2:7" ht="64.5" thickBot="1">
      <c r="C98" s="681" t="s">
        <v>720</v>
      </c>
      <c r="D98" s="21">
        <v>291.88002303185453</v>
      </c>
      <c r="E98" s="231" t="s">
        <v>211</v>
      </c>
      <c r="F98" s="684" t="s">
        <v>1348</v>
      </c>
      <c r="G98" s="685" t="s">
        <v>1349</v>
      </c>
    </row>
    <row r="99" spans="2:7" ht="65.25" thickTop="1" thickBot="1">
      <c r="C99" s="681" t="s">
        <v>721</v>
      </c>
      <c r="D99" s="21">
        <v>449.39671088485608</v>
      </c>
      <c r="E99" s="231" t="s">
        <v>211</v>
      </c>
      <c r="F99" s="684" t="s">
        <v>1350</v>
      </c>
      <c r="G99" s="685" t="s">
        <v>1349</v>
      </c>
    </row>
    <row r="100" spans="2:7" ht="65.25" thickTop="1" thickBot="1">
      <c r="C100" s="681" t="s">
        <v>1351</v>
      </c>
      <c r="D100" s="21">
        <v>1143.656535052507</v>
      </c>
      <c r="E100" s="231" t="s">
        <v>211</v>
      </c>
      <c r="F100" s="684" t="s">
        <v>1352</v>
      </c>
      <c r="G100" s="685" t="s">
        <v>1349</v>
      </c>
    </row>
    <row r="101" spans="2:7" ht="65.25" thickTop="1" thickBot="1">
      <c r="C101" s="681" t="s">
        <v>723</v>
      </c>
      <c r="D101" s="21">
        <v>322.58935106860423</v>
      </c>
      <c r="E101" s="231" t="s">
        <v>211</v>
      </c>
      <c r="F101" s="684" t="s">
        <v>1353</v>
      </c>
      <c r="G101" s="685" t="s">
        <v>1349</v>
      </c>
    </row>
    <row r="102" spans="2:7" ht="39.75" thickTop="1" thickBot="1">
      <c r="C102" s="681" t="s">
        <v>722</v>
      </c>
      <c r="D102" s="21">
        <v>1097.1538032747596</v>
      </c>
      <c r="E102" s="231" t="s">
        <v>211</v>
      </c>
      <c r="F102" s="684" t="s">
        <v>1354</v>
      </c>
      <c r="G102" s="685" t="s">
        <v>1349</v>
      </c>
    </row>
    <row r="103" spans="2:7" ht="65.25" thickTop="1" thickBot="1">
      <c r="C103" s="681" t="s">
        <v>1355</v>
      </c>
      <c r="D103" s="21">
        <v>1447.7095364490337</v>
      </c>
      <c r="E103" s="231" t="s">
        <v>211</v>
      </c>
      <c r="F103" s="684" t="s">
        <v>1348</v>
      </c>
      <c r="G103" s="685" t="s">
        <v>1349</v>
      </c>
    </row>
    <row r="104" spans="2:7" ht="52.5" thickTop="1" thickBot="1">
      <c r="C104" s="681" t="s">
        <v>1356</v>
      </c>
      <c r="D104" s="21">
        <v>28135.016470396458</v>
      </c>
      <c r="E104" s="683" t="s">
        <v>1357</v>
      </c>
      <c r="F104" s="684" t="s">
        <v>1358</v>
      </c>
      <c r="G104" s="685" t="s">
        <v>1359</v>
      </c>
    </row>
    <row r="105" spans="2:7" ht="16.5" thickTop="1" thickBot="1">
      <c r="C105" s="681" t="s">
        <v>272</v>
      </c>
      <c r="D105" s="690">
        <v>26695.016470396458</v>
      </c>
      <c r="E105" s="683" t="s">
        <v>1357</v>
      </c>
      <c r="F105" s="684"/>
      <c r="G105" s="685" t="s">
        <v>1360</v>
      </c>
    </row>
    <row r="106" spans="2:7" ht="16.5" thickTop="1" thickBot="1">
      <c r="B106" s="15" t="s">
        <v>1199</v>
      </c>
      <c r="C106" s="678" t="s">
        <v>1182</v>
      </c>
      <c r="D106" s="679"/>
      <c r="E106" s="679"/>
      <c r="F106" s="680"/>
      <c r="G106" s="680"/>
    </row>
    <row r="107" spans="2:7" ht="15.75" thickBot="1">
      <c r="C107" s="681" t="s">
        <v>1361</v>
      </c>
      <c r="D107" s="690">
        <v>30.935286443204365</v>
      </c>
      <c r="E107" s="683" t="s">
        <v>211</v>
      </c>
      <c r="F107" s="684" t="s">
        <v>1362</v>
      </c>
      <c r="G107" s="685" t="s">
        <v>1363</v>
      </c>
    </row>
    <row r="108" spans="2:7" ht="31.5" thickTop="1" thickBot="1">
      <c r="C108" s="681" t="s">
        <v>1364</v>
      </c>
      <c r="D108" s="690">
        <v>30.11046104876522</v>
      </c>
      <c r="E108" s="683" t="s">
        <v>211</v>
      </c>
      <c r="F108" s="684" t="s">
        <v>1362</v>
      </c>
      <c r="G108" s="685" t="s">
        <v>1363</v>
      </c>
    </row>
    <row r="109" spans="2:7" ht="31.5" thickTop="1" thickBot="1">
      <c r="C109" s="681" t="s">
        <v>1365</v>
      </c>
      <c r="D109" s="690">
        <v>31.760111837643507</v>
      </c>
      <c r="E109" s="683" t="s">
        <v>211</v>
      </c>
      <c r="F109" s="684" t="s">
        <v>1362</v>
      </c>
      <c r="G109" s="685" t="s">
        <v>1363</v>
      </c>
    </row>
    <row r="110" spans="2:7" ht="31.5" thickTop="1" thickBot="1">
      <c r="C110" s="681" t="s">
        <v>1366</v>
      </c>
      <c r="D110" s="690">
        <v>14.400655284192066</v>
      </c>
      <c r="E110" s="683" t="s">
        <v>211</v>
      </c>
      <c r="F110" s="684" t="s">
        <v>1362</v>
      </c>
      <c r="G110" s="685" t="s">
        <v>1363</v>
      </c>
    </row>
    <row r="111" spans="2:7" ht="31.5" thickTop="1" thickBot="1">
      <c r="C111" s="681" t="s">
        <v>1367</v>
      </c>
      <c r="D111" s="690">
        <v>15.18961870495994</v>
      </c>
      <c r="E111" s="683" t="s">
        <v>211</v>
      </c>
      <c r="F111" s="684" t="s">
        <v>1362</v>
      </c>
      <c r="G111" s="685" t="s">
        <v>1363</v>
      </c>
    </row>
    <row r="112" spans="2:7" ht="16.5" thickTop="1" thickBot="1">
      <c r="B112" s="15"/>
      <c r="C112" s="681" t="s">
        <v>1368</v>
      </c>
      <c r="D112" s="690">
        <v>2.1341643162000881</v>
      </c>
      <c r="E112" s="683" t="s">
        <v>215</v>
      </c>
      <c r="F112" s="684" t="s">
        <v>1369</v>
      </c>
      <c r="G112" s="685" t="s">
        <v>1370</v>
      </c>
    </row>
    <row r="113" spans="2:10" ht="16.5" thickTop="1" thickBot="1">
      <c r="B113" s="15" t="s">
        <v>1199</v>
      </c>
      <c r="C113" s="678" t="s">
        <v>943</v>
      </c>
      <c r="D113" s="679"/>
      <c r="E113" s="679"/>
      <c r="F113" s="680"/>
      <c r="G113" s="680"/>
    </row>
    <row r="114" spans="2:10" ht="64.5" thickBot="1">
      <c r="C114" s="681" t="s">
        <v>1371</v>
      </c>
      <c r="D114" s="687">
        <v>8311.1885324242903</v>
      </c>
      <c r="E114" s="231" t="s">
        <v>1372</v>
      </c>
      <c r="F114" s="684" t="s">
        <v>1373</v>
      </c>
      <c r="G114" s="685" t="s">
        <v>1374</v>
      </c>
      <c r="J114" s="691"/>
    </row>
    <row r="115" spans="2:10" ht="65.25" thickTop="1" thickBot="1">
      <c r="C115" s="681" t="s">
        <v>1375</v>
      </c>
      <c r="D115" s="687">
        <v>23015.620000160037</v>
      </c>
      <c r="E115" s="231" t="s">
        <v>1372</v>
      </c>
      <c r="F115" s="684" t="s">
        <v>1373</v>
      </c>
      <c r="G115" s="685" t="s">
        <v>1374</v>
      </c>
      <c r="J115" s="691"/>
    </row>
    <row r="116" spans="2:10" ht="65.25" thickTop="1" thickBot="1">
      <c r="C116" s="681" t="s">
        <v>1376</v>
      </c>
      <c r="D116" s="687">
        <v>48024.414223523665</v>
      </c>
      <c r="E116" s="231" t="s">
        <v>1372</v>
      </c>
      <c r="F116" s="684" t="s">
        <v>1373</v>
      </c>
      <c r="G116" s="685" t="s">
        <v>1374</v>
      </c>
      <c r="J116" s="691"/>
    </row>
    <row r="117" spans="2:10" ht="65.25" thickTop="1" thickBot="1">
      <c r="C117" s="681" t="s">
        <v>1377</v>
      </c>
      <c r="D117" s="687">
        <v>70688.560117238143</v>
      </c>
      <c r="E117" s="231" t="s">
        <v>1372</v>
      </c>
      <c r="F117" s="684" t="s">
        <v>1373</v>
      </c>
      <c r="G117" s="685" t="s">
        <v>1374</v>
      </c>
      <c r="J117" s="691"/>
    </row>
    <row r="118" spans="2:10" ht="65.25" thickTop="1" thickBot="1">
      <c r="C118" s="681" t="s">
        <v>1378</v>
      </c>
      <c r="D118" s="687">
        <v>113746.28141057401</v>
      </c>
      <c r="E118" s="231" t="s">
        <v>1372</v>
      </c>
      <c r="F118" s="684" t="s">
        <v>1373</v>
      </c>
      <c r="G118" s="685" t="s">
        <v>1374</v>
      </c>
      <c r="J118" s="691"/>
    </row>
    <row r="119" spans="2:10" ht="65.25" thickTop="1" thickBot="1">
      <c r="C119" s="681" t="s">
        <v>1379</v>
      </c>
      <c r="D119" s="687">
        <v>251331.38387292012</v>
      </c>
      <c r="E119" s="231" t="s">
        <v>1372</v>
      </c>
      <c r="F119" s="684" t="s">
        <v>1373</v>
      </c>
      <c r="G119" s="685" t="s">
        <v>1374</v>
      </c>
      <c r="J119" s="691"/>
    </row>
    <row r="120" spans="2:10" ht="65.25" thickTop="1" thickBot="1">
      <c r="C120" s="681" t="s">
        <v>1380</v>
      </c>
      <c r="D120" s="687">
        <v>519655.84591479518</v>
      </c>
      <c r="E120" s="231" t="s">
        <v>1372</v>
      </c>
      <c r="F120" s="684" t="s">
        <v>1373</v>
      </c>
      <c r="G120" s="685" t="s">
        <v>1374</v>
      </c>
      <c r="J120" s="691"/>
    </row>
    <row r="121" spans="2:10" ht="65.25" thickTop="1" thickBot="1">
      <c r="C121" s="681" t="s">
        <v>1381</v>
      </c>
      <c r="D121" s="687">
        <v>1130035.4288035473</v>
      </c>
      <c r="E121" s="231" t="s">
        <v>1372</v>
      </c>
      <c r="F121" s="684" t="s">
        <v>1373</v>
      </c>
      <c r="G121" s="685" t="s">
        <v>1374</v>
      </c>
      <c r="J121" s="691"/>
    </row>
    <row r="122" spans="2:10" ht="65.25" thickTop="1" thickBot="1">
      <c r="C122" s="681" t="s">
        <v>1382</v>
      </c>
      <c r="D122" s="687">
        <v>2997034.1236815853</v>
      </c>
      <c r="E122" s="231" t="s">
        <v>1372</v>
      </c>
      <c r="F122" s="684" t="s">
        <v>1373</v>
      </c>
      <c r="G122" s="685" t="s">
        <v>1374</v>
      </c>
      <c r="J122" s="691"/>
    </row>
    <row r="123" spans="2:10" ht="65.25" thickTop="1" thickBot="1">
      <c r="C123" s="681" t="s">
        <v>1383</v>
      </c>
      <c r="D123" s="687">
        <v>8417.8326215955876</v>
      </c>
      <c r="E123" s="231" t="s">
        <v>1372</v>
      </c>
      <c r="F123" s="684" t="s">
        <v>1373</v>
      </c>
      <c r="G123" s="685" t="s">
        <v>1374</v>
      </c>
      <c r="J123" s="691"/>
    </row>
    <row r="124" spans="2:10" ht="65.25" thickTop="1" thickBot="1">
      <c r="C124" s="681" t="s">
        <v>1384</v>
      </c>
      <c r="D124" s="687">
        <v>23373.565314318119</v>
      </c>
      <c r="E124" s="231" t="s">
        <v>1372</v>
      </c>
      <c r="F124" s="684" t="s">
        <v>1373</v>
      </c>
      <c r="G124" s="685" t="s">
        <v>1374</v>
      </c>
      <c r="J124" s="691"/>
    </row>
    <row r="125" spans="2:10" ht="65.25" thickTop="1" thickBot="1">
      <c r="C125" s="681" t="s">
        <v>1385</v>
      </c>
      <c r="D125" s="687">
        <v>48747.022540808655</v>
      </c>
      <c r="E125" s="231" t="s">
        <v>1372</v>
      </c>
      <c r="F125" s="684" t="s">
        <v>1373</v>
      </c>
      <c r="G125" s="685" t="s">
        <v>1374</v>
      </c>
      <c r="J125" s="691"/>
    </row>
    <row r="126" spans="2:10" ht="65.25" thickTop="1" thickBot="1">
      <c r="C126" s="681" t="s">
        <v>1386</v>
      </c>
      <c r="D126" s="687">
        <v>71690.323832849928</v>
      </c>
      <c r="E126" s="231" t="s">
        <v>1372</v>
      </c>
      <c r="F126" s="684" t="s">
        <v>1373</v>
      </c>
      <c r="G126" s="685" t="s">
        <v>1374</v>
      </c>
      <c r="J126" s="691"/>
    </row>
    <row r="127" spans="2:10" ht="65.25" thickTop="1" thickBot="1">
      <c r="C127" s="681" t="s">
        <v>1387</v>
      </c>
      <c r="D127" s="687">
        <v>115250.54659332334</v>
      </c>
      <c r="E127" s="231" t="s">
        <v>1372</v>
      </c>
      <c r="F127" s="684" t="s">
        <v>1373</v>
      </c>
      <c r="G127" s="685" t="s">
        <v>1374</v>
      </c>
      <c r="J127" s="691"/>
    </row>
    <row r="128" spans="2:10" ht="65.25" thickTop="1" thickBot="1">
      <c r="C128" s="681" t="s">
        <v>1388</v>
      </c>
      <c r="D128" s="687">
        <v>254376.40477461211</v>
      </c>
      <c r="E128" s="231" t="s">
        <v>1372</v>
      </c>
      <c r="F128" s="684" t="s">
        <v>1373</v>
      </c>
      <c r="G128" s="685" t="s">
        <v>1374</v>
      </c>
      <c r="J128" s="691"/>
    </row>
    <row r="129" spans="3:10" ht="65.25" thickTop="1" thickBot="1">
      <c r="C129" s="681" t="s">
        <v>1389</v>
      </c>
      <c r="D129" s="687">
        <v>525478.82074211573</v>
      </c>
      <c r="E129" s="231" t="s">
        <v>1372</v>
      </c>
      <c r="F129" s="684" t="s">
        <v>1373</v>
      </c>
      <c r="G129" s="685" t="s">
        <v>1374</v>
      </c>
      <c r="J129" s="691"/>
    </row>
    <row r="130" spans="3:10" ht="65.25" thickTop="1" thickBot="1">
      <c r="C130" s="681" t="s">
        <v>1390</v>
      </c>
      <c r="D130" s="687">
        <v>1146696.5423833744</v>
      </c>
      <c r="E130" s="231" t="s">
        <v>1372</v>
      </c>
      <c r="F130" s="684" t="s">
        <v>1373</v>
      </c>
      <c r="G130" s="685" t="s">
        <v>1374</v>
      </c>
      <c r="J130" s="691"/>
    </row>
    <row r="131" spans="3:10" ht="65.25" thickTop="1" thickBot="1">
      <c r="C131" s="681" t="s">
        <v>1391</v>
      </c>
      <c r="D131" s="687">
        <v>3037601.4146443768</v>
      </c>
      <c r="E131" s="231" t="s">
        <v>1372</v>
      </c>
      <c r="F131" s="684" t="s">
        <v>1373</v>
      </c>
      <c r="G131" s="685" t="s">
        <v>1374</v>
      </c>
      <c r="J131" s="691"/>
    </row>
    <row r="132" spans="3:10" ht="65.25" thickTop="1" thickBot="1">
      <c r="C132" s="681" t="s">
        <v>1392</v>
      </c>
      <c r="D132" s="687">
        <v>7698.5287534689141</v>
      </c>
      <c r="E132" s="231" t="s">
        <v>1372</v>
      </c>
      <c r="F132" s="684" t="s">
        <v>1373</v>
      </c>
      <c r="G132" s="685" t="s">
        <v>1374</v>
      </c>
      <c r="J132" s="691"/>
    </row>
    <row r="133" spans="3:10" ht="65.25" thickTop="1" thickBot="1">
      <c r="C133" s="681" t="s">
        <v>1393</v>
      </c>
      <c r="D133" s="687">
        <v>20959.259457777331</v>
      </c>
      <c r="E133" s="231" t="s">
        <v>1372</v>
      </c>
      <c r="F133" s="684" t="s">
        <v>1373</v>
      </c>
      <c r="G133" s="685" t="s">
        <v>1374</v>
      </c>
      <c r="J133" s="691"/>
    </row>
    <row r="134" spans="3:10" ht="65.25" thickTop="1" thickBot="1">
      <c r="C134" s="681" t="s">
        <v>905</v>
      </c>
      <c r="D134" s="687">
        <v>43873.100677884708</v>
      </c>
      <c r="E134" s="231" t="s">
        <v>1372</v>
      </c>
      <c r="F134" s="684" t="s">
        <v>1373</v>
      </c>
      <c r="G134" s="685" t="s">
        <v>1374</v>
      </c>
      <c r="J134" s="691"/>
    </row>
    <row r="135" spans="3:10" ht="65.25" thickTop="1" thickBot="1">
      <c r="C135" s="681" t="s">
        <v>1394</v>
      </c>
      <c r="D135" s="687">
        <v>64933.526328291737</v>
      </c>
      <c r="E135" s="231" t="s">
        <v>1372</v>
      </c>
      <c r="F135" s="684" t="s">
        <v>1373</v>
      </c>
      <c r="G135" s="685" t="s">
        <v>1374</v>
      </c>
      <c r="J135" s="691"/>
    </row>
    <row r="136" spans="3:10" ht="65.25" thickTop="1" thickBot="1">
      <c r="C136" s="681" t="s">
        <v>1395</v>
      </c>
      <c r="D136" s="687">
        <v>105104.42623121067</v>
      </c>
      <c r="E136" s="231" t="s">
        <v>1372</v>
      </c>
      <c r="F136" s="684" t="s">
        <v>1373</v>
      </c>
      <c r="G136" s="685" t="s">
        <v>1374</v>
      </c>
      <c r="J136" s="691"/>
    </row>
    <row r="137" spans="3:10" ht="65.25" thickTop="1" thickBot="1">
      <c r="C137" s="681" t="s">
        <v>1396</v>
      </c>
      <c r="D137" s="687">
        <v>233838.03898112278</v>
      </c>
      <c r="E137" s="231" t="s">
        <v>1372</v>
      </c>
      <c r="F137" s="684" t="s">
        <v>1373</v>
      </c>
      <c r="G137" s="685" t="s">
        <v>1374</v>
      </c>
      <c r="J137" s="691"/>
    </row>
    <row r="138" spans="3:10" ht="65.25" thickTop="1" thickBot="1">
      <c r="C138" s="681" t="s">
        <v>1397</v>
      </c>
      <c r="D138" s="687">
        <v>486203.4295803227</v>
      </c>
      <c r="E138" s="231" t="s">
        <v>1372</v>
      </c>
      <c r="F138" s="684" t="s">
        <v>1373</v>
      </c>
      <c r="G138" s="685" t="s">
        <v>1374</v>
      </c>
      <c r="J138" s="691"/>
    </row>
    <row r="139" spans="3:10" ht="65.25" thickTop="1" thickBot="1">
      <c r="C139" s="681" t="s">
        <v>1398</v>
      </c>
      <c r="D139" s="687">
        <v>1034318.9737961699</v>
      </c>
      <c r="E139" s="231" t="s">
        <v>1372</v>
      </c>
      <c r="F139" s="684" t="s">
        <v>1373</v>
      </c>
      <c r="G139" s="685" t="s">
        <v>1374</v>
      </c>
      <c r="J139" s="691"/>
    </row>
    <row r="140" spans="3:10" ht="65.25" thickTop="1" thickBot="1">
      <c r="C140" s="681" t="s">
        <v>1399</v>
      </c>
      <c r="D140" s="687">
        <v>2763979.0363606154</v>
      </c>
      <c r="E140" s="231" t="s">
        <v>1372</v>
      </c>
      <c r="F140" s="684" t="s">
        <v>1373</v>
      </c>
      <c r="G140" s="685" t="s">
        <v>1374</v>
      </c>
      <c r="J140" s="691"/>
    </row>
    <row r="141" spans="3:10" ht="52.5" thickTop="1" thickBot="1">
      <c r="C141" s="681" t="s">
        <v>1130</v>
      </c>
      <c r="D141" s="687">
        <v>6195.4040364428374</v>
      </c>
      <c r="E141" s="231" t="s">
        <v>1372</v>
      </c>
      <c r="F141" s="684" t="s">
        <v>1400</v>
      </c>
      <c r="G141" s="685" t="s">
        <v>1374</v>
      </c>
      <c r="J141" s="691"/>
    </row>
    <row r="142" spans="3:10" ht="52.5" thickTop="1" thickBot="1">
      <c r="C142" s="681" t="s">
        <v>1401</v>
      </c>
      <c r="D142" s="687">
        <v>21606.35606248823</v>
      </c>
      <c r="E142" s="231" t="s">
        <v>1372</v>
      </c>
      <c r="F142" s="684" t="s">
        <v>1400</v>
      </c>
      <c r="G142" s="685" t="s">
        <v>1374</v>
      </c>
      <c r="J142" s="691"/>
    </row>
    <row r="143" spans="3:10" ht="52.5" thickTop="1" thickBot="1">
      <c r="C143" s="681" t="s">
        <v>907</v>
      </c>
      <c r="D143" s="687">
        <v>44919.285552261928</v>
      </c>
      <c r="E143" s="231" t="s">
        <v>1372</v>
      </c>
      <c r="F143" s="684" t="s">
        <v>1400</v>
      </c>
      <c r="G143" s="685" t="s">
        <v>1374</v>
      </c>
      <c r="J143" s="691"/>
    </row>
    <row r="144" spans="3:10" ht="52.5" thickTop="1" thickBot="1">
      <c r="C144" s="681" t="s">
        <v>1402</v>
      </c>
      <c r="D144" s="687">
        <v>66334.068732677872</v>
      </c>
      <c r="E144" s="231" t="s">
        <v>1372</v>
      </c>
      <c r="F144" s="684" t="s">
        <v>1400</v>
      </c>
      <c r="G144" s="685" t="s">
        <v>1374</v>
      </c>
      <c r="J144" s="691"/>
    </row>
    <row r="145" spans="3:10" ht="65.25" thickTop="1" thickBot="1">
      <c r="C145" s="681" t="s">
        <v>1403</v>
      </c>
      <c r="D145" s="687">
        <v>107002.73327132415</v>
      </c>
      <c r="E145" s="231" t="s">
        <v>1372</v>
      </c>
      <c r="F145" s="684" t="s">
        <v>1404</v>
      </c>
      <c r="G145" s="685" t="s">
        <v>1374</v>
      </c>
      <c r="J145" s="691"/>
    </row>
    <row r="146" spans="3:10" ht="65.25" thickTop="1" thickBot="1">
      <c r="C146" s="681" t="s">
        <v>1405</v>
      </c>
      <c r="D146" s="687">
        <v>236636.25969645957</v>
      </c>
      <c r="E146" s="231" t="s">
        <v>1372</v>
      </c>
      <c r="F146" s="684" t="s">
        <v>1404</v>
      </c>
      <c r="G146" s="685" t="s">
        <v>1374</v>
      </c>
      <c r="J146" s="691"/>
    </row>
    <row r="147" spans="3:10" ht="65.25" thickTop="1" thickBot="1">
      <c r="C147" s="681" t="s">
        <v>902</v>
      </c>
      <c r="D147" s="687">
        <v>490051.51666856452</v>
      </c>
      <c r="E147" s="231" t="s">
        <v>1372</v>
      </c>
      <c r="F147" s="684" t="s">
        <v>1404</v>
      </c>
      <c r="G147" s="685" t="s">
        <v>1374</v>
      </c>
      <c r="J147" s="691"/>
    </row>
    <row r="148" spans="3:10" ht="65.25" thickTop="1" thickBot="1">
      <c r="C148" s="681" t="s">
        <v>1406</v>
      </c>
      <c r="D148" s="687">
        <v>1040105.8435484119</v>
      </c>
      <c r="E148" s="231" t="s">
        <v>1372</v>
      </c>
      <c r="F148" s="684" t="s">
        <v>1404</v>
      </c>
      <c r="G148" s="685" t="s">
        <v>1374</v>
      </c>
      <c r="J148" s="691"/>
    </row>
    <row r="149" spans="3:10" ht="65.25" thickTop="1" thickBot="1">
      <c r="C149" s="681" t="s">
        <v>1407</v>
      </c>
      <c r="D149" s="687">
        <v>2770367.3764256681</v>
      </c>
      <c r="E149" s="231" t="s">
        <v>1372</v>
      </c>
      <c r="F149" s="684" t="s">
        <v>1404</v>
      </c>
      <c r="G149" s="685" t="s">
        <v>1374</v>
      </c>
      <c r="J149" s="691"/>
    </row>
    <row r="150" spans="3:10" ht="52.5" thickTop="1" thickBot="1">
      <c r="C150" s="681" t="s">
        <v>1408</v>
      </c>
      <c r="D150" s="687">
        <v>6302.0481256141366</v>
      </c>
      <c r="E150" s="231" t="s">
        <v>1372</v>
      </c>
      <c r="F150" s="684" t="s">
        <v>1400</v>
      </c>
      <c r="G150" s="685" t="s">
        <v>1374</v>
      </c>
      <c r="J150" s="691"/>
    </row>
    <row r="151" spans="3:10" ht="52.5" thickTop="1" thickBot="1">
      <c r="C151" s="681" t="s">
        <v>1409</v>
      </c>
      <c r="D151" s="687">
        <v>21964.301376646312</v>
      </c>
      <c r="E151" s="231" t="s">
        <v>1372</v>
      </c>
      <c r="F151" s="684" t="s">
        <v>1400</v>
      </c>
      <c r="G151" s="685" t="s">
        <v>1374</v>
      </c>
      <c r="J151" s="691"/>
    </row>
    <row r="152" spans="3:10" ht="52.5" thickTop="1" thickBot="1">
      <c r="C152" s="681" t="s">
        <v>1410</v>
      </c>
      <c r="D152" s="687">
        <v>45641.893869546919</v>
      </c>
      <c r="E152" s="231" t="s">
        <v>1372</v>
      </c>
      <c r="F152" s="684" t="s">
        <v>1400</v>
      </c>
      <c r="G152" s="685" t="s">
        <v>1374</v>
      </c>
      <c r="J152" s="691"/>
    </row>
    <row r="153" spans="3:10" ht="52.5" thickTop="1" thickBot="1">
      <c r="C153" s="681" t="s">
        <v>1411</v>
      </c>
      <c r="D153" s="687">
        <v>67335.832448289671</v>
      </c>
      <c r="E153" s="231" t="s">
        <v>1372</v>
      </c>
      <c r="F153" s="684" t="s">
        <v>1400</v>
      </c>
      <c r="G153" s="685" t="s">
        <v>1374</v>
      </c>
      <c r="J153" s="691"/>
    </row>
    <row r="154" spans="3:10" ht="65.25" thickTop="1" thickBot="1">
      <c r="C154" s="681" t="s">
        <v>1412</v>
      </c>
      <c r="D154" s="687">
        <v>108506.99845407347</v>
      </c>
      <c r="E154" s="231" t="s">
        <v>1372</v>
      </c>
      <c r="F154" s="684" t="s">
        <v>1404</v>
      </c>
      <c r="G154" s="685" t="s">
        <v>1374</v>
      </c>
      <c r="J154" s="691"/>
    </row>
    <row r="155" spans="3:10" ht="65.25" thickTop="1" thickBot="1">
      <c r="C155" s="681" t="s">
        <v>1413</v>
      </c>
      <c r="D155" s="687">
        <v>239681.28059815156</v>
      </c>
      <c r="E155" s="231" t="s">
        <v>1372</v>
      </c>
      <c r="F155" s="684" t="s">
        <v>1404</v>
      </c>
      <c r="G155" s="685" t="s">
        <v>1374</v>
      </c>
      <c r="J155" s="691"/>
    </row>
    <row r="156" spans="3:10" ht="65.25" thickTop="1" thickBot="1">
      <c r="C156" s="681" t="s">
        <v>1414</v>
      </c>
      <c r="D156" s="687">
        <v>495874.49149588501</v>
      </c>
      <c r="E156" s="231" t="s">
        <v>1372</v>
      </c>
      <c r="F156" s="684" t="s">
        <v>1404</v>
      </c>
      <c r="G156" s="685" t="s">
        <v>1374</v>
      </c>
      <c r="J156" s="691"/>
    </row>
    <row r="157" spans="3:10" ht="65.25" thickTop="1" thickBot="1">
      <c r="C157" s="681" t="s">
        <v>1415</v>
      </c>
      <c r="D157" s="687">
        <v>1056766.9571282391</v>
      </c>
      <c r="E157" s="231" t="s">
        <v>1372</v>
      </c>
      <c r="F157" s="684" t="s">
        <v>1404</v>
      </c>
      <c r="G157" s="685" t="s">
        <v>1374</v>
      </c>
      <c r="J157" s="691"/>
    </row>
    <row r="158" spans="3:10" ht="65.25" thickTop="1" thickBot="1">
      <c r="C158" s="681" t="s">
        <v>1416</v>
      </c>
      <c r="D158" s="687">
        <v>2810934.6673884597</v>
      </c>
      <c r="E158" s="231" t="s">
        <v>1372</v>
      </c>
      <c r="F158" s="684" t="s">
        <v>1404</v>
      </c>
      <c r="G158" s="685" t="s">
        <v>1374</v>
      </c>
      <c r="J158" s="691"/>
    </row>
    <row r="159" spans="3:10" ht="52.5" thickTop="1" thickBot="1">
      <c r="C159" s="681" t="s">
        <v>1417</v>
      </c>
      <c r="D159" s="687">
        <v>5582.7442574874622</v>
      </c>
      <c r="E159" s="231" t="s">
        <v>1372</v>
      </c>
      <c r="F159" s="684" t="s">
        <v>1400</v>
      </c>
      <c r="G159" s="685" t="s">
        <v>1374</v>
      </c>
      <c r="J159" s="691"/>
    </row>
    <row r="160" spans="3:10" ht="52.5" thickTop="1" thickBot="1">
      <c r="C160" s="681" t="s">
        <v>1418</v>
      </c>
      <c r="D160" s="687">
        <v>19549.995520105524</v>
      </c>
      <c r="E160" s="231" t="s">
        <v>1372</v>
      </c>
      <c r="F160" s="684" t="s">
        <v>1400</v>
      </c>
      <c r="G160" s="685" t="s">
        <v>1374</v>
      </c>
      <c r="J160" s="691"/>
    </row>
    <row r="161" spans="3:10" ht="52.5" thickTop="1" thickBot="1">
      <c r="C161" s="681" t="s">
        <v>1419</v>
      </c>
      <c r="D161" s="687">
        <v>40767.972006622971</v>
      </c>
      <c r="E161" s="231" t="s">
        <v>1372</v>
      </c>
      <c r="F161" s="684" t="s">
        <v>1400</v>
      </c>
      <c r="G161" s="685" t="s">
        <v>1374</v>
      </c>
      <c r="J161" s="691"/>
    </row>
    <row r="162" spans="3:10" ht="52.5" thickTop="1" thickBot="1">
      <c r="C162" s="681" t="s">
        <v>1420</v>
      </c>
      <c r="D162" s="687">
        <v>60579.034943731473</v>
      </c>
      <c r="E162" s="231" t="s">
        <v>1372</v>
      </c>
      <c r="F162" s="684" t="s">
        <v>1400</v>
      </c>
      <c r="G162" s="685" t="s">
        <v>1374</v>
      </c>
      <c r="J162" s="691"/>
    </row>
    <row r="163" spans="3:10" ht="65.25" thickTop="1" thickBot="1">
      <c r="C163" s="681" t="s">
        <v>1421</v>
      </c>
      <c r="D163" s="687">
        <v>98360.878091960811</v>
      </c>
      <c r="E163" s="231" t="s">
        <v>1372</v>
      </c>
      <c r="F163" s="684" t="s">
        <v>1404</v>
      </c>
      <c r="G163" s="685" t="s">
        <v>1374</v>
      </c>
      <c r="J163" s="691"/>
    </row>
    <row r="164" spans="3:10" ht="65.25" thickTop="1" thickBot="1">
      <c r="C164" s="681" t="s">
        <v>1422</v>
      </c>
      <c r="D164" s="687">
        <v>219142.91480466223</v>
      </c>
      <c r="E164" s="231" t="s">
        <v>1372</v>
      </c>
      <c r="F164" s="684" t="s">
        <v>1404</v>
      </c>
      <c r="G164" s="685" t="s">
        <v>1374</v>
      </c>
      <c r="J164" s="691"/>
    </row>
    <row r="165" spans="3:10" ht="65.25" thickTop="1" thickBot="1">
      <c r="C165" s="681" t="s">
        <v>1423</v>
      </c>
      <c r="D165" s="687">
        <v>456599.10033409204</v>
      </c>
      <c r="E165" s="231" t="s">
        <v>1372</v>
      </c>
      <c r="F165" s="684" t="s">
        <v>1404</v>
      </c>
      <c r="G165" s="685" t="s">
        <v>1374</v>
      </c>
      <c r="J165" s="691"/>
    </row>
    <row r="166" spans="3:10" ht="65.25" thickTop="1" thickBot="1">
      <c r="C166" s="681" t="s">
        <v>1424</v>
      </c>
      <c r="D166" s="687">
        <v>944389.38854103442</v>
      </c>
      <c r="E166" s="231" t="s">
        <v>1372</v>
      </c>
      <c r="F166" s="684" t="s">
        <v>1404</v>
      </c>
      <c r="G166" s="685" t="s">
        <v>1374</v>
      </c>
      <c r="J166" s="691"/>
    </row>
    <row r="167" spans="3:10" ht="65.25" thickTop="1" thickBot="1">
      <c r="C167" s="681" t="s">
        <v>1425</v>
      </c>
      <c r="D167" s="687">
        <v>2537312.2891046982</v>
      </c>
      <c r="E167" s="231" t="s">
        <v>1372</v>
      </c>
      <c r="F167" s="684" t="s">
        <v>1404</v>
      </c>
      <c r="G167" s="685" t="s">
        <v>1374</v>
      </c>
      <c r="J167" s="691"/>
    </row>
    <row r="168" spans="3:10" ht="39.75" thickTop="1" thickBot="1">
      <c r="C168" s="681" t="s">
        <v>1426</v>
      </c>
      <c r="D168" s="687">
        <v>3036.4774338064499</v>
      </c>
      <c r="E168" s="231" t="s">
        <v>1372</v>
      </c>
      <c r="F168" s="684" t="s">
        <v>1427</v>
      </c>
      <c r="G168" s="685" t="s">
        <v>1374</v>
      </c>
      <c r="J168" s="691"/>
    </row>
    <row r="169" spans="3:10" ht="39.75" thickTop="1" thickBot="1">
      <c r="C169" s="681" t="s">
        <v>1428</v>
      </c>
      <c r="D169" s="687">
        <v>12924.062312392824</v>
      </c>
      <c r="E169" s="231" t="s">
        <v>1372</v>
      </c>
      <c r="F169" s="684" t="s">
        <v>1427</v>
      </c>
      <c r="G169" s="685" t="s">
        <v>1374</v>
      </c>
      <c r="J169" s="691"/>
    </row>
    <row r="170" spans="3:10" ht="39.75" thickTop="1" thickBot="1">
      <c r="C170" s="681" t="s">
        <v>1429</v>
      </c>
      <c r="D170" s="687">
        <v>30667.483050656287</v>
      </c>
      <c r="E170" s="231" t="s">
        <v>1372</v>
      </c>
      <c r="F170" s="684" t="s">
        <v>1427</v>
      </c>
      <c r="G170" s="685" t="s">
        <v>1374</v>
      </c>
      <c r="J170" s="691"/>
    </row>
    <row r="171" spans="3:10" ht="39.75" thickTop="1" thickBot="1">
      <c r="C171" s="681" t="s">
        <v>1430</v>
      </c>
      <c r="D171" s="687">
        <v>47891.991191847963</v>
      </c>
      <c r="E171" s="231" t="s">
        <v>1372</v>
      </c>
      <c r="F171" s="684" t="s">
        <v>1427</v>
      </c>
      <c r="G171" s="685" t="s">
        <v>1374</v>
      </c>
      <c r="J171" s="691"/>
    </row>
    <row r="172" spans="3:10" ht="39.75" thickTop="1" thickBot="1">
      <c r="C172" s="681" t="s">
        <v>1431</v>
      </c>
      <c r="D172" s="687">
        <v>80807.674386647079</v>
      </c>
      <c r="E172" s="231" t="s">
        <v>1372</v>
      </c>
      <c r="F172" s="684" t="s">
        <v>1427</v>
      </c>
      <c r="G172" s="685" t="s">
        <v>1374</v>
      </c>
      <c r="J172" s="691"/>
    </row>
    <row r="173" spans="3:10" ht="39.75" thickTop="1" thickBot="1">
      <c r="C173" s="681" t="s">
        <v>1432</v>
      </c>
      <c r="D173" s="687">
        <v>185729.75257312338</v>
      </c>
      <c r="E173" s="231" t="s">
        <v>1372</v>
      </c>
      <c r="F173" s="684" t="s">
        <v>1427</v>
      </c>
      <c r="G173" s="685" t="s">
        <v>1374</v>
      </c>
      <c r="J173" s="691"/>
    </row>
    <row r="174" spans="3:10" ht="39.75" thickTop="1" thickBot="1">
      <c r="C174" s="681" t="s">
        <v>1433</v>
      </c>
      <c r="D174" s="687">
        <v>393731.73575675464</v>
      </c>
      <c r="E174" s="231" t="s">
        <v>1372</v>
      </c>
      <c r="F174" s="684" t="s">
        <v>1427</v>
      </c>
      <c r="G174" s="685" t="s">
        <v>1374</v>
      </c>
      <c r="J174" s="691"/>
    </row>
    <row r="175" spans="3:10" ht="39.75" thickTop="1" thickBot="1">
      <c r="C175" s="681" t="s">
        <v>1434</v>
      </c>
      <c r="D175" s="687">
        <v>516926.36963141547</v>
      </c>
      <c r="E175" s="231" t="s">
        <v>1372</v>
      </c>
      <c r="F175" s="684" t="s">
        <v>1427</v>
      </c>
      <c r="G175" s="685" t="s">
        <v>1374</v>
      </c>
      <c r="J175" s="691"/>
    </row>
    <row r="176" spans="3:10" ht="39.75" thickTop="1" thickBot="1">
      <c r="C176" s="681" t="s">
        <v>1435</v>
      </c>
      <c r="D176" s="687">
        <v>1133065.8927478057</v>
      </c>
      <c r="E176" s="231" t="s">
        <v>1372</v>
      </c>
      <c r="F176" s="684" t="s">
        <v>1427</v>
      </c>
      <c r="G176" s="685" t="s">
        <v>1374</v>
      </c>
      <c r="J176" s="691"/>
    </row>
    <row r="177" spans="3:10" ht="39.75" thickTop="1" thickBot="1">
      <c r="C177" s="681" t="s">
        <v>1436</v>
      </c>
      <c r="D177" s="687">
        <v>3143.121522977749</v>
      </c>
      <c r="E177" s="231" t="s">
        <v>1372</v>
      </c>
      <c r="F177" s="684" t="s">
        <v>1427</v>
      </c>
      <c r="G177" s="685" t="s">
        <v>1374</v>
      </c>
      <c r="J177" s="691"/>
    </row>
    <row r="178" spans="3:10" ht="39.75" thickTop="1" thickBot="1">
      <c r="C178" s="681" t="s">
        <v>1437</v>
      </c>
      <c r="D178" s="687">
        <v>13282.007626550903</v>
      </c>
      <c r="E178" s="231" t="s">
        <v>1372</v>
      </c>
      <c r="F178" s="684" t="s">
        <v>1427</v>
      </c>
      <c r="G178" s="685" t="s">
        <v>1374</v>
      </c>
      <c r="J178" s="691"/>
    </row>
    <row r="179" spans="3:10" ht="39.75" thickTop="1" thickBot="1">
      <c r="C179" s="681" t="s">
        <v>1438</v>
      </c>
      <c r="D179" s="687">
        <v>31390.091367941281</v>
      </c>
      <c r="E179" s="231" t="s">
        <v>1372</v>
      </c>
      <c r="F179" s="684" t="s">
        <v>1427</v>
      </c>
      <c r="G179" s="685" t="s">
        <v>1374</v>
      </c>
      <c r="J179" s="691"/>
    </row>
    <row r="180" spans="3:10" ht="39.75" thickTop="1" thickBot="1">
      <c r="C180" s="681" t="s">
        <v>1439</v>
      </c>
      <c r="D180" s="687">
        <v>48893.754907459755</v>
      </c>
      <c r="E180" s="231" t="s">
        <v>1372</v>
      </c>
      <c r="F180" s="684" t="s">
        <v>1427</v>
      </c>
      <c r="G180" s="685" t="s">
        <v>1374</v>
      </c>
      <c r="J180" s="691"/>
    </row>
    <row r="181" spans="3:10" ht="39.75" thickTop="1" thickBot="1">
      <c r="C181" s="681" t="s">
        <v>1440</v>
      </c>
      <c r="D181" s="687">
        <v>82311.939569396403</v>
      </c>
      <c r="E181" s="231" t="s">
        <v>1372</v>
      </c>
      <c r="F181" s="684" t="s">
        <v>1427</v>
      </c>
      <c r="G181" s="685" t="s">
        <v>1374</v>
      </c>
      <c r="J181" s="691"/>
    </row>
    <row r="182" spans="3:10" ht="39.75" thickTop="1" thickBot="1">
      <c r="C182" s="681" t="s">
        <v>1441</v>
      </c>
      <c r="D182" s="687">
        <v>188774.77347481536</v>
      </c>
      <c r="E182" s="231" t="s">
        <v>1372</v>
      </c>
      <c r="F182" s="684" t="s">
        <v>1427</v>
      </c>
      <c r="G182" s="685" t="s">
        <v>1374</v>
      </c>
      <c r="J182" s="691"/>
    </row>
    <row r="183" spans="3:10" ht="39.75" thickTop="1" thickBot="1">
      <c r="C183" s="681" t="s">
        <v>909</v>
      </c>
      <c r="D183" s="687">
        <v>399554.71058407513</v>
      </c>
      <c r="E183" s="231" t="s">
        <v>1372</v>
      </c>
      <c r="F183" s="684" t="s">
        <v>1427</v>
      </c>
      <c r="G183" s="685" t="s">
        <v>1374</v>
      </c>
      <c r="J183" s="691"/>
    </row>
    <row r="184" spans="3:10" ht="39.75" thickTop="1" thickBot="1">
      <c r="C184" s="681" t="s">
        <v>1442</v>
      </c>
      <c r="D184" s="687">
        <v>527676.03084802162</v>
      </c>
      <c r="E184" s="231" t="s">
        <v>1372</v>
      </c>
      <c r="F184" s="684" t="s">
        <v>1427</v>
      </c>
      <c r="G184" s="685" t="s">
        <v>1374</v>
      </c>
      <c r="J184" s="691"/>
    </row>
    <row r="185" spans="3:10" ht="39.75" thickTop="1" thickBot="1">
      <c r="C185" s="681" t="s">
        <v>1443</v>
      </c>
      <c r="D185" s="687">
        <v>1156623.2246647896</v>
      </c>
      <c r="E185" s="231" t="s">
        <v>1372</v>
      </c>
      <c r="F185" s="684" t="s">
        <v>1427</v>
      </c>
      <c r="G185" s="685" t="s">
        <v>1374</v>
      </c>
      <c r="J185" s="691"/>
    </row>
    <row r="186" spans="3:10" ht="39.75" thickTop="1" thickBot="1">
      <c r="C186" s="681" t="s">
        <v>1444</v>
      </c>
      <c r="D186" s="687">
        <v>2423.8176548510742</v>
      </c>
      <c r="E186" s="231" t="s">
        <v>1372</v>
      </c>
      <c r="F186" s="684" t="s">
        <v>1427</v>
      </c>
      <c r="G186" s="685" t="s">
        <v>1374</v>
      </c>
      <c r="J186" s="691"/>
    </row>
    <row r="187" spans="3:10" ht="39.75" thickTop="1" thickBot="1">
      <c r="C187" s="681" t="s">
        <v>1445</v>
      </c>
      <c r="D187" s="687">
        <v>10867.701770010117</v>
      </c>
      <c r="E187" s="231" t="s">
        <v>1372</v>
      </c>
      <c r="F187" s="684" t="s">
        <v>1427</v>
      </c>
      <c r="G187" s="685" t="s">
        <v>1374</v>
      </c>
      <c r="J187" s="691"/>
    </row>
    <row r="188" spans="3:10" ht="39.75" thickTop="1" thickBot="1">
      <c r="C188" s="681" t="s">
        <v>1446</v>
      </c>
      <c r="D188" s="687">
        <v>26516.169505017333</v>
      </c>
      <c r="E188" s="231" t="s">
        <v>1372</v>
      </c>
      <c r="F188" s="684" t="s">
        <v>1427</v>
      </c>
      <c r="G188" s="685" t="s">
        <v>1374</v>
      </c>
      <c r="J188" s="691"/>
    </row>
    <row r="189" spans="3:10" ht="39.75" thickTop="1" thickBot="1">
      <c r="C189" s="681" t="s">
        <v>1447</v>
      </c>
      <c r="D189" s="687">
        <v>42136.957402901557</v>
      </c>
      <c r="E189" s="231" t="s">
        <v>1372</v>
      </c>
      <c r="F189" s="684" t="s">
        <v>1427</v>
      </c>
      <c r="G189" s="685" t="s">
        <v>1374</v>
      </c>
      <c r="J189" s="691"/>
    </row>
    <row r="190" spans="3:10" ht="39.75" thickTop="1" thickBot="1">
      <c r="C190" s="681" t="s">
        <v>1448</v>
      </c>
      <c r="D190" s="687">
        <v>72165.819207283741</v>
      </c>
      <c r="E190" s="231" t="s">
        <v>1372</v>
      </c>
      <c r="F190" s="684" t="s">
        <v>1427</v>
      </c>
      <c r="G190" s="685" t="s">
        <v>1374</v>
      </c>
      <c r="J190" s="691"/>
    </row>
    <row r="191" spans="3:10" ht="39.75" thickTop="1" thickBot="1">
      <c r="C191" s="681" t="s">
        <v>1449</v>
      </c>
      <c r="D191" s="687">
        <v>168236.40768132603</v>
      </c>
      <c r="E191" s="231" t="s">
        <v>1372</v>
      </c>
      <c r="F191" s="684" t="s">
        <v>1427</v>
      </c>
      <c r="G191" s="685" t="s">
        <v>1374</v>
      </c>
      <c r="J191" s="691"/>
    </row>
    <row r="192" spans="3:10" ht="39.75" thickTop="1" thickBot="1">
      <c r="C192" s="681" t="s">
        <v>1450</v>
      </c>
      <c r="D192" s="687">
        <v>360279.31942228216</v>
      </c>
      <c r="E192" s="231" t="s">
        <v>1372</v>
      </c>
      <c r="F192" s="684" t="s">
        <v>1427</v>
      </c>
      <c r="G192" s="685" t="s">
        <v>1374</v>
      </c>
      <c r="J192" s="691"/>
    </row>
    <row r="193" spans="2:10" ht="39.75" thickTop="1" thickBot="1">
      <c r="C193" s="681" t="s">
        <v>1451</v>
      </c>
      <c r="D193" s="687">
        <v>455170.6256798461</v>
      </c>
      <c r="E193" s="231" t="s">
        <v>1372</v>
      </c>
      <c r="F193" s="684" t="s">
        <v>1427</v>
      </c>
      <c r="G193" s="685" t="s">
        <v>1374</v>
      </c>
      <c r="J193" s="691"/>
    </row>
    <row r="194" spans="2:10" ht="39.75" thickTop="1" thickBot="1">
      <c r="C194" s="681" t="s">
        <v>1452</v>
      </c>
      <c r="D194" s="687">
        <v>997731.34324590908</v>
      </c>
      <c r="E194" s="231" t="s">
        <v>1372</v>
      </c>
      <c r="F194" s="684" t="s">
        <v>1427</v>
      </c>
      <c r="G194" s="685" t="s">
        <v>1374</v>
      </c>
      <c r="J194" s="691"/>
    </row>
    <row r="195" spans="2:10" ht="27" thickTop="1" thickBot="1">
      <c r="C195" s="681" t="s">
        <v>901</v>
      </c>
      <c r="D195" s="687">
        <v>2716.0659319577553</v>
      </c>
      <c r="E195" s="231" t="s">
        <v>1372</v>
      </c>
      <c r="F195" s="684" t="s">
        <v>1453</v>
      </c>
      <c r="G195" s="685" t="s">
        <v>1374</v>
      </c>
      <c r="J195" s="691"/>
    </row>
    <row r="196" spans="2:10" ht="27" thickTop="1" thickBot="1">
      <c r="C196" s="681" t="s">
        <v>912</v>
      </c>
      <c r="D196" s="687">
        <v>11785.763411499132</v>
      </c>
      <c r="E196" s="231" t="s">
        <v>1372</v>
      </c>
      <c r="F196" s="684" t="s">
        <v>1453</v>
      </c>
      <c r="G196" s="685" t="s">
        <v>1374</v>
      </c>
      <c r="J196" s="691"/>
    </row>
    <row r="197" spans="2:10" ht="27" thickTop="1" thickBot="1">
      <c r="C197" s="681" t="s">
        <v>915</v>
      </c>
      <c r="D197" s="21">
        <v>5.4499050940062554</v>
      </c>
      <c r="E197" s="683" t="s">
        <v>219</v>
      </c>
      <c r="F197" s="684" t="s">
        <v>1454</v>
      </c>
      <c r="G197" s="684" t="s">
        <v>1455</v>
      </c>
      <c r="J197" s="691"/>
    </row>
    <row r="198" spans="2:10" ht="27" thickTop="1" thickBot="1">
      <c r="C198" s="681" t="s">
        <v>1456</v>
      </c>
      <c r="D198" s="21">
        <v>6.1128920221108309</v>
      </c>
      <c r="E198" s="683" t="s">
        <v>219</v>
      </c>
      <c r="F198" s="684" t="s">
        <v>1454</v>
      </c>
      <c r="G198" s="684" t="s">
        <v>1455</v>
      </c>
      <c r="J198" s="691"/>
    </row>
    <row r="199" spans="2:10" ht="27" thickTop="1" thickBot="1">
      <c r="C199" s="681" t="s">
        <v>1457</v>
      </c>
      <c r="D199" s="21">
        <v>7.7454933293003734</v>
      </c>
      <c r="E199" s="683" t="s">
        <v>219</v>
      </c>
      <c r="F199" s="684" t="s">
        <v>1454</v>
      </c>
      <c r="G199" s="684" t="s">
        <v>1455</v>
      </c>
      <c r="J199" s="691"/>
    </row>
    <row r="200" spans="2:10" ht="27" thickTop="1" thickBot="1">
      <c r="C200" s="681" t="s">
        <v>1458</v>
      </c>
      <c r="D200" s="21">
        <v>9.4868462704768426</v>
      </c>
      <c r="E200" s="683" t="s">
        <v>219</v>
      </c>
      <c r="F200" s="684" t="s">
        <v>1454</v>
      </c>
      <c r="G200" s="684" t="s">
        <v>1455</v>
      </c>
      <c r="J200" s="691"/>
    </row>
    <row r="201" spans="2:10" ht="16.5" thickTop="1" thickBot="1">
      <c r="B201" s="15" t="s">
        <v>1199</v>
      </c>
      <c r="C201" s="678" t="s">
        <v>1459</v>
      </c>
      <c r="D201" s="679"/>
      <c r="E201" s="679"/>
      <c r="F201" s="680"/>
      <c r="G201" s="680"/>
    </row>
    <row r="202" spans="2:10" ht="39" thickBot="1">
      <c r="C202" s="681" t="s">
        <v>1460</v>
      </c>
      <c r="D202" s="687">
        <v>5490.5329023463619</v>
      </c>
      <c r="E202" s="231" t="s">
        <v>299</v>
      </c>
      <c r="F202" s="684" t="s">
        <v>1461</v>
      </c>
      <c r="G202" s="685" t="s">
        <v>1462</v>
      </c>
    </row>
    <row r="203" spans="2:10" ht="52.5" thickTop="1" thickBot="1">
      <c r="C203" s="681" t="s">
        <v>1463</v>
      </c>
      <c r="D203" s="687">
        <v>25624.456470396457</v>
      </c>
      <c r="E203" s="683" t="s">
        <v>1357</v>
      </c>
      <c r="F203" s="684" t="s">
        <v>1464</v>
      </c>
      <c r="G203" s="684" t="s">
        <v>1465</v>
      </c>
    </row>
    <row r="204" spans="2:10" ht="52.5" thickTop="1" thickBot="1">
      <c r="C204" s="681" t="s">
        <v>1466</v>
      </c>
      <c r="D204" s="687">
        <v>22864.456470396457</v>
      </c>
      <c r="E204" s="683" t="s">
        <v>1357</v>
      </c>
      <c r="F204" s="684" t="s">
        <v>1467</v>
      </c>
      <c r="G204" s="684" t="s">
        <v>1465</v>
      </c>
    </row>
    <row r="205" spans="2:10" ht="16.5" thickTop="1" thickBot="1">
      <c r="B205" s="15" t="s">
        <v>1199</v>
      </c>
      <c r="C205" s="678" t="s">
        <v>1468</v>
      </c>
      <c r="D205" s="679"/>
      <c r="E205" s="679"/>
      <c r="F205" s="680"/>
      <c r="G205" s="680"/>
    </row>
    <row r="206" spans="2:10" ht="15.75" thickBot="1">
      <c r="B206" s="15" t="s">
        <v>1469</v>
      </c>
      <c r="C206" s="681" t="s">
        <v>867</v>
      </c>
      <c r="D206" s="23">
        <v>740.19589522735362</v>
      </c>
      <c r="E206" s="683" t="s">
        <v>299</v>
      </c>
      <c r="F206" s="692" t="s">
        <v>1470</v>
      </c>
      <c r="G206" s="684" t="s">
        <v>1471</v>
      </c>
    </row>
    <row r="207" spans="2:10" ht="16.5" thickTop="1" thickBot="1">
      <c r="C207" s="681" t="s">
        <v>1472</v>
      </c>
      <c r="D207" s="23">
        <v>790.37866778514024</v>
      </c>
      <c r="E207" s="683" t="s">
        <v>299</v>
      </c>
      <c r="F207" s="684" t="s">
        <v>1470</v>
      </c>
      <c r="G207" s="684" t="s">
        <v>1471</v>
      </c>
    </row>
    <row r="208" spans="2:10" ht="16.5" thickTop="1" thickBot="1">
      <c r="C208" s="681" t="s">
        <v>627</v>
      </c>
      <c r="D208" s="23">
        <v>707.60769231635197</v>
      </c>
      <c r="E208" s="683" t="s">
        <v>299</v>
      </c>
      <c r="F208" s="684" t="s">
        <v>1473</v>
      </c>
      <c r="G208" s="684" t="s">
        <v>1471</v>
      </c>
    </row>
    <row r="209" spans="2:7" ht="16.5" thickTop="1" thickBot="1">
      <c r="C209" s="681" t="s">
        <v>1474</v>
      </c>
      <c r="D209" s="23">
        <v>784.37760832848994</v>
      </c>
      <c r="E209" s="683" t="s">
        <v>299</v>
      </c>
      <c r="F209" s="684" t="s">
        <v>1475</v>
      </c>
      <c r="G209" s="684" t="s">
        <v>1471</v>
      </c>
    </row>
    <row r="210" spans="2:7" ht="16.5" thickTop="1" thickBot="1">
      <c r="C210" s="681" t="s">
        <v>1476</v>
      </c>
      <c r="D210" s="23">
        <v>555.14692142051524</v>
      </c>
      <c r="E210" s="683" t="s">
        <v>299</v>
      </c>
      <c r="F210" s="684" t="s">
        <v>1477</v>
      </c>
      <c r="G210" s="684" t="s">
        <v>1471</v>
      </c>
    </row>
    <row r="211" spans="2:7" ht="16.5" thickTop="1" thickBot="1">
      <c r="C211" s="681" t="s">
        <v>1478</v>
      </c>
      <c r="D211" s="23">
        <v>1124.2076877014456</v>
      </c>
      <c r="E211" s="683" t="s">
        <v>299</v>
      </c>
      <c r="F211" s="684" t="s">
        <v>1479</v>
      </c>
      <c r="G211" s="684" t="s">
        <v>1471</v>
      </c>
    </row>
    <row r="212" spans="2:7" ht="16.5" thickTop="1" thickBot="1">
      <c r="B212" s="15" t="s">
        <v>1199</v>
      </c>
      <c r="C212" s="678" t="s">
        <v>1480</v>
      </c>
      <c r="D212" s="679"/>
      <c r="E212" s="679"/>
      <c r="F212" s="680"/>
      <c r="G212" s="680"/>
    </row>
    <row r="213" spans="2:7" ht="39" thickBot="1">
      <c r="C213" s="681" t="s">
        <v>877</v>
      </c>
      <c r="D213" s="23">
        <v>0.82325581395348835</v>
      </c>
      <c r="E213" s="683" t="s">
        <v>219</v>
      </c>
      <c r="F213" s="684" t="s">
        <v>1481</v>
      </c>
      <c r="G213" s="685" t="s">
        <v>1482</v>
      </c>
    </row>
    <row r="214" spans="2:7" ht="39.75" thickTop="1" thickBot="1">
      <c r="C214" s="681" t="s">
        <v>1056</v>
      </c>
      <c r="D214" s="23">
        <v>0.82325581395348835</v>
      </c>
      <c r="E214" s="683" t="s">
        <v>219</v>
      </c>
      <c r="F214" s="684" t="s">
        <v>1481</v>
      </c>
      <c r="G214" s="685" t="s">
        <v>1482</v>
      </c>
    </row>
    <row r="215" spans="2:7" ht="39.75" thickTop="1" thickBot="1">
      <c r="C215" s="681" t="s">
        <v>875</v>
      </c>
      <c r="D215" s="23">
        <v>1.8084243133374003</v>
      </c>
      <c r="E215" s="683" t="s">
        <v>219</v>
      </c>
      <c r="F215" s="684" t="s">
        <v>1483</v>
      </c>
      <c r="G215" s="685" t="s">
        <v>1482</v>
      </c>
    </row>
    <row r="216" spans="2:7" ht="39.75" thickTop="1" thickBot="1">
      <c r="C216" s="681" t="s">
        <v>1484</v>
      </c>
      <c r="D216" s="23">
        <v>2.0458941726645339</v>
      </c>
      <c r="E216" s="683" t="s">
        <v>219</v>
      </c>
      <c r="F216" s="684" t="s">
        <v>1485</v>
      </c>
      <c r="G216" s="685" t="s">
        <v>1482</v>
      </c>
    </row>
    <row r="217" spans="2:7" ht="39.75" thickTop="1" thickBot="1">
      <c r="C217" s="681" t="s">
        <v>1486</v>
      </c>
      <c r="D217" s="23">
        <v>2.7745688095039567</v>
      </c>
      <c r="E217" s="683" t="s">
        <v>219</v>
      </c>
      <c r="F217" s="684" t="s">
        <v>1487</v>
      </c>
      <c r="G217" s="685" t="s">
        <v>1482</v>
      </c>
    </row>
    <row r="218" spans="2:7" ht="39.75" thickTop="1" thickBot="1">
      <c r="C218" s="681" t="s">
        <v>1488</v>
      </c>
      <c r="D218" s="23" t="s">
        <v>1489</v>
      </c>
      <c r="E218" s="683" t="s">
        <v>219</v>
      </c>
      <c r="F218" s="684" t="s">
        <v>1489</v>
      </c>
      <c r="G218" s="685" t="s">
        <v>1482</v>
      </c>
    </row>
    <row r="219" spans="2:7" ht="39.75" thickTop="1" thickBot="1">
      <c r="C219" s="681" t="s">
        <v>1490</v>
      </c>
      <c r="D219" s="23" t="s">
        <v>1489</v>
      </c>
      <c r="E219" s="683" t="s">
        <v>219</v>
      </c>
      <c r="F219" s="684" t="s">
        <v>1489</v>
      </c>
      <c r="G219" s="685" t="s">
        <v>1482</v>
      </c>
    </row>
    <row r="220" spans="2:7" ht="39.75" thickTop="1" thickBot="1">
      <c r="C220" s="681" t="s">
        <v>1491</v>
      </c>
      <c r="D220" s="23" t="s">
        <v>1489</v>
      </c>
      <c r="E220" s="683" t="s">
        <v>219</v>
      </c>
      <c r="F220" s="684" t="s">
        <v>1489</v>
      </c>
      <c r="G220" s="685" t="s">
        <v>1482</v>
      </c>
    </row>
    <row r="221" spans="2:7" ht="39.75" thickTop="1" thickBot="1">
      <c r="C221" s="681" t="s">
        <v>1492</v>
      </c>
      <c r="D221" s="23" t="s">
        <v>1489</v>
      </c>
      <c r="E221" s="683" t="s">
        <v>219</v>
      </c>
      <c r="F221" s="684" t="s">
        <v>1489</v>
      </c>
      <c r="G221" s="685" t="s">
        <v>1482</v>
      </c>
    </row>
    <row r="222" spans="2:7" ht="39.75" thickTop="1" thickBot="1">
      <c r="C222" s="681" t="s">
        <v>1493</v>
      </c>
      <c r="D222" s="23" t="s">
        <v>1489</v>
      </c>
      <c r="E222" s="683" t="s">
        <v>219</v>
      </c>
      <c r="F222" s="684" t="s">
        <v>1489</v>
      </c>
      <c r="G222" s="685" t="s">
        <v>1482</v>
      </c>
    </row>
    <row r="223" spans="2:7" ht="39.75" thickTop="1" thickBot="1">
      <c r="C223" s="681" t="s">
        <v>1494</v>
      </c>
      <c r="D223" s="23" t="s">
        <v>1489</v>
      </c>
      <c r="E223" s="683" t="s">
        <v>219</v>
      </c>
      <c r="F223" s="684" t="s">
        <v>1489</v>
      </c>
      <c r="G223" s="685" t="s">
        <v>1482</v>
      </c>
    </row>
    <row r="224" spans="2:7" ht="39.75" thickTop="1" thickBot="1">
      <c r="C224" s="681" t="s">
        <v>1495</v>
      </c>
      <c r="D224" s="23" t="s">
        <v>1489</v>
      </c>
      <c r="E224" s="683" t="s">
        <v>219</v>
      </c>
      <c r="F224" s="684" t="s">
        <v>1489</v>
      </c>
      <c r="G224" s="685" t="s">
        <v>1482</v>
      </c>
    </row>
    <row r="225" spans="3:7" ht="39.75" thickTop="1" thickBot="1">
      <c r="C225" s="681" t="s">
        <v>1496</v>
      </c>
      <c r="D225" s="23" t="s">
        <v>1489</v>
      </c>
      <c r="E225" s="683" t="s">
        <v>219</v>
      </c>
      <c r="F225" s="684" t="s">
        <v>1489</v>
      </c>
      <c r="G225" s="685" t="s">
        <v>1482</v>
      </c>
    </row>
    <row r="226" spans="3:7" ht="39.75" thickTop="1" thickBot="1">
      <c r="C226" s="681" t="s">
        <v>1497</v>
      </c>
      <c r="D226" s="23" t="s">
        <v>1489</v>
      </c>
      <c r="E226" s="683" t="s">
        <v>219</v>
      </c>
      <c r="F226" s="684" t="s">
        <v>1489</v>
      </c>
      <c r="G226" s="685" t="s">
        <v>1482</v>
      </c>
    </row>
    <row r="227" spans="3:7" ht="39.75" thickTop="1" thickBot="1">
      <c r="C227" s="681" t="s">
        <v>1498</v>
      </c>
      <c r="D227" s="23">
        <v>0.64882586211400151</v>
      </c>
      <c r="E227" s="683" t="s">
        <v>219</v>
      </c>
      <c r="F227" s="684" t="s">
        <v>1499</v>
      </c>
      <c r="G227" s="685" t="s">
        <v>1482</v>
      </c>
    </row>
    <row r="228" spans="3:7" ht="39.75" thickTop="1" thickBot="1">
      <c r="C228" s="681" t="s">
        <v>1500</v>
      </c>
      <c r="D228" s="23">
        <v>0.64882586211400151</v>
      </c>
      <c r="E228" s="683" t="s">
        <v>219</v>
      </c>
      <c r="F228" s="684" t="s">
        <v>1499</v>
      </c>
      <c r="G228" s="685" t="s">
        <v>1482</v>
      </c>
    </row>
    <row r="229" spans="3:7" ht="39.75" thickTop="1" thickBot="1">
      <c r="C229" s="681" t="s">
        <v>1501</v>
      </c>
      <c r="D229" s="23">
        <v>1.0813764368566692</v>
      </c>
      <c r="E229" s="683" t="s">
        <v>219</v>
      </c>
      <c r="F229" s="684" t="s">
        <v>1502</v>
      </c>
      <c r="G229" s="685" t="s">
        <v>1482</v>
      </c>
    </row>
    <row r="230" spans="3:7" ht="39.75" thickTop="1" thickBot="1">
      <c r="C230" s="681" t="s">
        <v>1503</v>
      </c>
      <c r="D230" s="23">
        <v>1.2358587849790506</v>
      </c>
      <c r="E230" s="683" t="s">
        <v>219</v>
      </c>
      <c r="F230" s="684" t="s">
        <v>1504</v>
      </c>
      <c r="G230" s="685" t="s">
        <v>1482</v>
      </c>
    </row>
    <row r="231" spans="3:7" ht="39.75" thickTop="1" thickBot="1">
      <c r="C231" s="681" t="s">
        <v>1505</v>
      </c>
      <c r="D231" s="23">
        <v>1.7302022989706707</v>
      </c>
      <c r="E231" s="683" t="s">
        <v>219</v>
      </c>
      <c r="F231" s="684" t="s">
        <v>1506</v>
      </c>
      <c r="G231" s="685" t="s">
        <v>1482</v>
      </c>
    </row>
    <row r="232" spans="3:7" ht="39.75" thickTop="1" thickBot="1">
      <c r="C232" s="681" t="s">
        <v>1507</v>
      </c>
      <c r="D232" s="23" t="s">
        <v>1489</v>
      </c>
      <c r="E232" s="683" t="s">
        <v>219</v>
      </c>
      <c r="F232" s="684" t="s">
        <v>1489</v>
      </c>
      <c r="G232" s="685" t="s">
        <v>1482</v>
      </c>
    </row>
    <row r="233" spans="3:7" ht="39.75" thickTop="1" thickBot="1">
      <c r="C233" s="681" t="s">
        <v>1508</v>
      </c>
      <c r="D233" s="23" t="s">
        <v>1489</v>
      </c>
      <c r="E233" s="683" t="s">
        <v>219</v>
      </c>
      <c r="F233" s="684" t="s">
        <v>1489</v>
      </c>
      <c r="G233" s="685" t="s">
        <v>1482</v>
      </c>
    </row>
    <row r="234" spans="3:7" ht="39.75" thickTop="1" thickBot="1">
      <c r="C234" s="681" t="s">
        <v>1509</v>
      </c>
      <c r="D234" s="23" t="s">
        <v>1489</v>
      </c>
      <c r="E234" s="683" t="s">
        <v>219</v>
      </c>
      <c r="F234" s="684" t="s">
        <v>1489</v>
      </c>
      <c r="G234" s="685" t="s">
        <v>1482</v>
      </c>
    </row>
    <row r="235" spans="3:7" ht="39.75" thickTop="1" thickBot="1">
      <c r="C235" s="681" t="s">
        <v>1510</v>
      </c>
      <c r="D235" s="23" t="s">
        <v>1489</v>
      </c>
      <c r="E235" s="683" t="s">
        <v>219</v>
      </c>
      <c r="F235" s="684" t="s">
        <v>1489</v>
      </c>
      <c r="G235" s="685" t="s">
        <v>1482</v>
      </c>
    </row>
    <row r="236" spans="3:7" ht="39.75" thickTop="1" thickBot="1">
      <c r="C236" s="681" t="s">
        <v>1511</v>
      </c>
      <c r="D236" s="23" t="s">
        <v>1489</v>
      </c>
      <c r="E236" s="683" t="s">
        <v>219</v>
      </c>
      <c r="F236" s="684" t="s">
        <v>1489</v>
      </c>
      <c r="G236" s="685" t="s">
        <v>1482</v>
      </c>
    </row>
    <row r="237" spans="3:7" ht="39.75" thickTop="1" thickBot="1">
      <c r="C237" s="681" t="s">
        <v>1512</v>
      </c>
      <c r="D237" s="23" t="s">
        <v>1489</v>
      </c>
      <c r="E237" s="683" t="s">
        <v>219</v>
      </c>
      <c r="F237" s="684" t="s">
        <v>1489</v>
      </c>
      <c r="G237" s="685" t="s">
        <v>1482</v>
      </c>
    </row>
    <row r="238" spans="3:7" ht="39.75" thickTop="1" thickBot="1">
      <c r="C238" s="681" t="s">
        <v>1513</v>
      </c>
      <c r="D238" s="23" t="s">
        <v>1489</v>
      </c>
      <c r="E238" s="683" t="s">
        <v>219</v>
      </c>
      <c r="F238" s="684" t="s">
        <v>1489</v>
      </c>
      <c r="G238" s="685" t="s">
        <v>1482</v>
      </c>
    </row>
    <row r="239" spans="3:7" ht="39.75" thickTop="1" thickBot="1">
      <c r="C239" s="681" t="s">
        <v>1514</v>
      </c>
      <c r="D239" s="23" t="s">
        <v>1489</v>
      </c>
      <c r="E239" s="683" t="s">
        <v>219</v>
      </c>
      <c r="F239" s="684" t="s">
        <v>1489</v>
      </c>
      <c r="G239" s="685" t="s">
        <v>1482</v>
      </c>
    </row>
    <row r="240" spans="3:7" ht="39.75" thickTop="1" thickBot="1">
      <c r="C240" s="681" t="s">
        <v>1515</v>
      </c>
      <c r="D240" s="23" t="s">
        <v>1489</v>
      </c>
      <c r="E240" s="683" t="s">
        <v>219</v>
      </c>
      <c r="F240" s="684" t="s">
        <v>1489</v>
      </c>
      <c r="G240" s="685" t="s">
        <v>1482</v>
      </c>
    </row>
    <row r="241" spans="3:7" ht="39.75" thickTop="1" thickBot="1">
      <c r="C241" s="681" t="s">
        <v>977</v>
      </c>
      <c r="D241" s="23">
        <v>0.45363864131175463</v>
      </c>
      <c r="E241" s="683" t="s">
        <v>219</v>
      </c>
      <c r="F241" s="684" t="s">
        <v>1516</v>
      </c>
      <c r="G241" s="685" t="s">
        <v>1482</v>
      </c>
    </row>
    <row r="242" spans="3:7" ht="39.75" thickTop="1" thickBot="1">
      <c r="C242" s="681" t="s">
        <v>1517</v>
      </c>
      <c r="D242" s="23">
        <v>0.45363864131175463</v>
      </c>
      <c r="E242" s="683" t="s">
        <v>219</v>
      </c>
      <c r="F242" s="684" t="s">
        <v>1516</v>
      </c>
      <c r="G242" s="685" t="s">
        <v>1482</v>
      </c>
    </row>
    <row r="243" spans="3:7" ht="39.75" thickTop="1" thickBot="1">
      <c r="C243" s="681" t="s">
        <v>1518</v>
      </c>
      <c r="D243" s="23">
        <v>0.8356501287321797</v>
      </c>
      <c r="E243" s="683" t="s">
        <v>219</v>
      </c>
      <c r="F243" s="684" t="s">
        <v>1519</v>
      </c>
      <c r="G243" s="685" t="s">
        <v>1482</v>
      </c>
    </row>
    <row r="244" spans="3:7" ht="39.75" thickTop="1" thickBot="1">
      <c r="C244" s="681" t="s">
        <v>1520</v>
      </c>
      <c r="D244" s="23">
        <v>0.97332428787196412</v>
      </c>
      <c r="E244" s="683" t="s">
        <v>219</v>
      </c>
      <c r="F244" s="684" t="s">
        <v>1521</v>
      </c>
      <c r="G244" s="685" t="s">
        <v>1482</v>
      </c>
    </row>
    <row r="245" spans="3:7" ht="39.75" thickTop="1" thickBot="1">
      <c r="C245" s="681" t="s">
        <v>1522</v>
      </c>
      <c r="D245" s="23">
        <v>1.4516436521976153</v>
      </c>
      <c r="E245" s="683" t="s">
        <v>219</v>
      </c>
      <c r="F245" s="684" t="s">
        <v>1523</v>
      </c>
      <c r="G245" s="685" t="s">
        <v>1482</v>
      </c>
    </row>
    <row r="246" spans="3:7" ht="39.75" thickTop="1" thickBot="1">
      <c r="C246" s="681" t="s">
        <v>1524</v>
      </c>
      <c r="D246" s="23">
        <v>2.2927584759438866</v>
      </c>
      <c r="E246" s="683" t="s">
        <v>219</v>
      </c>
      <c r="F246" s="684" t="s">
        <v>1525</v>
      </c>
      <c r="G246" s="685" t="s">
        <v>1482</v>
      </c>
    </row>
    <row r="247" spans="3:7" ht="39.75" thickTop="1" thickBot="1">
      <c r="C247" s="681" t="s">
        <v>1526</v>
      </c>
      <c r="D247" s="23">
        <v>3.2513349718589923</v>
      </c>
      <c r="E247" s="683" t="s">
        <v>219</v>
      </c>
      <c r="F247" s="684" t="s">
        <v>1527</v>
      </c>
      <c r="G247" s="685" t="s">
        <v>1482</v>
      </c>
    </row>
    <row r="248" spans="3:7" ht="39.75" thickTop="1" thickBot="1">
      <c r="C248" s="681" t="s">
        <v>1528</v>
      </c>
      <c r="D248" s="23">
        <v>4.430889054672952</v>
      </c>
      <c r="E248" s="683" t="s">
        <v>219</v>
      </c>
      <c r="F248" s="684" t="s">
        <v>1529</v>
      </c>
      <c r="G248" s="685" t="s">
        <v>1482</v>
      </c>
    </row>
    <row r="249" spans="3:7" ht="39.75" thickTop="1" thickBot="1">
      <c r="C249" s="681" t="s">
        <v>1530</v>
      </c>
      <c r="D249" s="23" t="s">
        <v>1489</v>
      </c>
      <c r="E249" s="683" t="s">
        <v>219</v>
      </c>
      <c r="F249" s="684" t="s">
        <v>1489</v>
      </c>
      <c r="G249" s="685" t="s">
        <v>1482</v>
      </c>
    </row>
    <row r="250" spans="3:7" ht="39.75" thickTop="1" thickBot="1">
      <c r="C250" s="681" t="s">
        <v>1531</v>
      </c>
      <c r="D250" s="23" t="s">
        <v>1489</v>
      </c>
      <c r="E250" s="683" t="s">
        <v>219</v>
      </c>
      <c r="F250" s="684" t="s">
        <v>1489</v>
      </c>
      <c r="G250" s="685" t="s">
        <v>1482</v>
      </c>
    </row>
    <row r="251" spans="3:7" ht="39.75" thickTop="1" thickBot="1">
      <c r="C251" s="681" t="s">
        <v>1532</v>
      </c>
      <c r="D251" s="23" t="s">
        <v>1489</v>
      </c>
      <c r="E251" s="683" t="s">
        <v>219</v>
      </c>
      <c r="F251" s="684" t="s">
        <v>1489</v>
      </c>
      <c r="G251" s="685" t="s">
        <v>1482</v>
      </c>
    </row>
    <row r="252" spans="3:7" ht="39.75" thickTop="1" thickBot="1">
      <c r="C252" s="681" t="s">
        <v>1533</v>
      </c>
      <c r="D252" s="23" t="s">
        <v>1489</v>
      </c>
      <c r="E252" s="683" t="s">
        <v>219</v>
      </c>
      <c r="F252" s="684" t="s">
        <v>1489</v>
      </c>
      <c r="G252" s="685" t="s">
        <v>1482</v>
      </c>
    </row>
    <row r="253" spans="3:7" ht="39.75" thickTop="1" thickBot="1">
      <c r="C253" s="681" t="s">
        <v>1534</v>
      </c>
      <c r="D253" s="23" t="s">
        <v>1489</v>
      </c>
      <c r="E253" s="683" t="s">
        <v>219</v>
      </c>
      <c r="F253" s="684" t="s">
        <v>1489</v>
      </c>
      <c r="G253" s="685" t="s">
        <v>1482</v>
      </c>
    </row>
    <row r="254" spans="3:7" ht="39.75" thickTop="1" thickBot="1">
      <c r="C254" s="681" t="s">
        <v>1535</v>
      </c>
      <c r="D254" s="23" t="s">
        <v>1489</v>
      </c>
      <c r="E254" s="683" t="s">
        <v>219</v>
      </c>
      <c r="F254" s="684" t="s">
        <v>1489</v>
      </c>
      <c r="G254" s="685" t="s">
        <v>1482</v>
      </c>
    </row>
    <row r="255" spans="3:7" ht="39.75" thickTop="1" thickBot="1">
      <c r="C255" s="681" t="s">
        <v>1536</v>
      </c>
      <c r="D255" s="23">
        <v>0.38105645870187388</v>
      </c>
      <c r="E255" s="683" t="s">
        <v>219</v>
      </c>
      <c r="F255" s="684" t="s">
        <v>1537</v>
      </c>
      <c r="G255" s="685" t="s">
        <v>1482</v>
      </c>
    </row>
    <row r="256" spans="3:7" ht="39.75" thickTop="1" thickBot="1">
      <c r="C256" s="681" t="s">
        <v>778</v>
      </c>
      <c r="D256" s="23">
        <v>0.38105645870187388</v>
      </c>
      <c r="E256" s="683" t="s">
        <v>219</v>
      </c>
      <c r="F256" s="684" t="s">
        <v>1537</v>
      </c>
      <c r="G256" s="685" t="s">
        <v>1482</v>
      </c>
    </row>
    <row r="257" spans="3:7" ht="39.75" thickTop="1" thickBot="1">
      <c r="C257" s="681" t="s">
        <v>1538</v>
      </c>
      <c r="D257" s="23">
        <v>0.68045796196763186</v>
      </c>
      <c r="E257" s="683" t="s">
        <v>219</v>
      </c>
      <c r="F257" s="684" t="s">
        <v>1539</v>
      </c>
      <c r="G257" s="685" t="s">
        <v>1482</v>
      </c>
    </row>
    <row r="258" spans="3:7" ht="39.75" thickTop="1" thickBot="1">
      <c r="C258" s="681" t="s">
        <v>1540</v>
      </c>
      <c r="D258" s="23">
        <v>0.78165427426025413</v>
      </c>
      <c r="E258" s="683" t="s">
        <v>219</v>
      </c>
      <c r="F258" s="684" t="s">
        <v>1541</v>
      </c>
      <c r="G258" s="685" t="s">
        <v>1482</v>
      </c>
    </row>
    <row r="259" spans="3:7" ht="39.75" thickTop="1" thickBot="1">
      <c r="C259" s="681" t="s">
        <v>1542</v>
      </c>
      <c r="D259" s="23">
        <v>1.1125736020492669</v>
      </c>
      <c r="E259" s="683" t="s">
        <v>219</v>
      </c>
      <c r="F259" s="684" t="s">
        <v>1543</v>
      </c>
      <c r="G259" s="685" t="s">
        <v>1482</v>
      </c>
    </row>
    <row r="260" spans="3:7" ht="39.75" thickTop="1" thickBot="1">
      <c r="C260" s="681" t="s">
        <v>1544</v>
      </c>
      <c r="D260" s="23">
        <v>1.6495950593154713</v>
      </c>
      <c r="E260" s="683" t="s">
        <v>219</v>
      </c>
      <c r="F260" s="684" t="s">
        <v>1545</v>
      </c>
      <c r="G260" s="685" t="s">
        <v>1482</v>
      </c>
    </row>
    <row r="261" spans="3:7" ht="39.75" thickTop="1" thickBot="1">
      <c r="C261" s="681" t="s">
        <v>1546</v>
      </c>
      <c r="D261" s="23">
        <v>2.1248501414602634</v>
      </c>
      <c r="E261" s="683" t="s">
        <v>219</v>
      </c>
      <c r="F261" s="684" t="s">
        <v>1547</v>
      </c>
      <c r="G261" s="685" t="s">
        <v>1482</v>
      </c>
    </row>
    <row r="262" spans="3:7" ht="39.75" thickTop="1" thickBot="1">
      <c r="C262" s="681" t="s">
        <v>1548</v>
      </c>
      <c r="D262" s="23">
        <v>2.6585334328037713</v>
      </c>
      <c r="E262" s="683" t="s">
        <v>219</v>
      </c>
      <c r="F262" s="684" t="s">
        <v>1549</v>
      </c>
      <c r="G262" s="685" t="s">
        <v>1482</v>
      </c>
    </row>
    <row r="263" spans="3:7" ht="39.75" thickTop="1" thickBot="1">
      <c r="C263" s="681" t="s">
        <v>1550</v>
      </c>
      <c r="D263" s="23">
        <v>2.0242042958930884</v>
      </c>
      <c r="E263" s="683" t="s">
        <v>219</v>
      </c>
      <c r="F263" s="684" t="s">
        <v>1551</v>
      </c>
      <c r="G263" s="685" t="s">
        <v>1482</v>
      </c>
    </row>
    <row r="264" spans="3:7" ht="39.75" thickTop="1" thickBot="1">
      <c r="C264" s="681" t="s">
        <v>1552</v>
      </c>
      <c r="D264" s="23">
        <v>3.55049111299207</v>
      </c>
      <c r="E264" s="683" t="s">
        <v>219</v>
      </c>
      <c r="F264" s="684" t="s">
        <v>1553</v>
      </c>
      <c r="G264" s="685" t="s">
        <v>1482</v>
      </c>
    </row>
    <row r="265" spans="3:7" ht="39.75" thickTop="1" thickBot="1">
      <c r="C265" s="681" t="s">
        <v>1554</v>
      </c>
      <c r="D265" s="23">
        <v>4.5363864131175466</v>
      </c>
      <c r="E265" s="683" t="s">
        <v>219</v>
      </c>
      <c r="F265" s="684" t="s">
        <v>1483</v>
      </c>
      <c r="G265" s="685" t="s">
        <v>1482</v>
      </c>
    </row>
    <row r="266" spans="3:7" ht="39.75" thickTop="1" thickBot="1">
      <c r="C266" s="681" t="s">
        <v>1555</v>
      </c>
      <c r="D266" s="23">
        <v>4.8113189230034585</v>
      </c>
      <c r="E266" s="683" t="s">
        <v>219</v>
      </c>
      <c r="F266" s="684" t="s">
        <v>1556</v>
      </c>
      <c r="G266" s="685" t="s">
        <v>1482</v>
      </c>
    </row>
    <row r="267" spans="3:7" ht="39.75" thickTop="1" thickBot="1">
      <c r="C267" s="681" t="s">
        <v>1557</v>
      </c>
      <c r="D267" s="23">
        <v>7.6825898931829419</v>
      </c>
      <c r="E267" s="683" t="s">
        <v>219</v>
      </c>
      <c r="F267" s="684" t="s">
        <v>1485</v>
      </c>
      <c r="G267" s="685" t="s">
        <v>1482</v>
      </c>
    </row>
    <row r="268" spans="3:7" ht="39.75" thickTop="1" thickBot="1">
      <c r="C268" s="681" t="s">
        <v>1558</v>
      </c>
      <c r="D268" s="23" t="s">
        <v>1489</v>
      </c>
      <c r="E268" s="683" t="s">
        <v>219</v>
      </c>
      <c r="F268" s="684" t="s">
        <v>1489</v>
      </c>
      <c r="G268" s="685" t="s">
        <v>1482</v>
      </c>
    </row>
    <row r="269" spans="3:7" ht="39.75" thickTop="1" thickBot="1">
      <c r="C269" s="681" t="s">
        <v>777</v>
      </c>
      <c r="D269" s="23">
        <v>0.3227577630414038</v>
      </c>
      <c r="E269" s="683" t="s">
        <v>219</v>
      </c>
      <c r="F269" s="684" t="s">
        <v>1559</v>
      </c>
      <c r="G269" s="685" t="s">
        <v>1482</v>
      </c>
    </row>
    <row r="270" spans="3:7" ht="39.75" thickTop="1" thickBot="1">
      <c r="C270" s="681" t="s">
        <v>1560</v>
      </c>
      <c r="D270" s="23">
        <v>0.3227577630414038</v>
      </c>
      <c r="E270" s="683" t="s">
        <v>219</v>
      </c>
      <c r="F270" s="684" t="s">
        <v>1559</v>
      </c>
      <c r="G270" s="685" t="s">
        <v>1482</v>
      </c>
    </row>
    <row r="271" spans="3:7" ht="39.75" thickTop="1" thickBot="1">
      <c r="C271" s="681" t="s">
        <v>766</v>
      </c>
      <c r="D271" s="23">
        <v>0.59455377402363863</v>
      </c>
      <c r="E271" s="683" t="s">
        <v>219</v>
      </c>
      <c r="F271" s="684" t="s">
        <v>1561</v>
      </c>
      <c r="G271" s="685" t="s">
        <v>1482</v>
      </c>
    </row>
    <row r="272" spans="3:7" ht="39.75" thickTop="1" thickBot="1">
      <c r="C272" s="681" t="s">
        <v>1562</v>
      </c>
      <c r="D272" s="23">
        <v>0.68076966969184993</v>
      </c>
      <c r="E272" s="683" t="s">
        <v>219</v>
      </c>
      <c r="F272" s="684" t="s">
        <v>1563</v>
      </c>
      <c r="G272" s="685" t="s">
        <v>1482</v>
      </c>
    </row>
    <row r="273" spans="3:7" ht="39.75" thickTop="1" thickBot="1">
      <c r="C273" s="681" t="s">
        <v>1564</v>
      </c>
      <c r="D273" s="23">
        <v>0.95885595386305666</v>
      </c>
      <c r="E273" s="683" t="s">
        <v>219</v>
      </c>
      <c r="F273" s="684" t="s">
        <v>1565</v>
      </c>
      <c r="G273" s="685" t="s">
        <v>1482</v>
      </c>
    </row>
    <row r="274" spans="3:7" ht="39.75" thickTop="1" thickBot="1">
      <c r="C274" s="681" t="s">
        <v>1566</v>
      </c>
      <c r="D274" s="23">
        <v>1.3003190453466629</v>
      </c>
      <c r="E274" s="683" t="s">
        <v>219</v>
      </c>
      <c r="F274" s="684" t="s">
        <v>1567</v>
      </c>
      <c r="G274" s="685" t="s">
        <v>1482</v>
      </c>
    </row>
    <row r="275" spans="3:7" ht="39.75" thickTop="1" thickBot="1">
      <c r="C275" s="681" t="s">
        <v>1568</v>
      </c>
      <c r="D275" s="23">
        <v>1.5231265222178607</v>
      </c>
      <c r="E275" s="683" t="s">
        <v>219</v>
      </c>
      <c r="F275" s="684" t="s">
        <v>1569</v>
      </c>
      <c r="G275" s="685" t="s">
        <v>1482</v>
      </c>
    </row>
    <row r="276" spans="3:7" ht="39.75" thickTop="1" thickBot="1">
      <c r="C276" s="681" t="s">
        <v>1570</v>
      </c>
      <c r="D276" s="23">
        <v>1.8697691100329599</v>
      </c>
      <c r="E276" s="683" t="s">
        <v>219</v>
      </c>
      <c r="F276" s="684" t="s">
        <v>1571</v>
      </c>
      <c r="G276" s="685" t="s">
        <v>1482</v>
      </c>
    </row>
    <row r="277" spans="3:7" ht="39.75" thickTop="1" thickBot="1">
      <c r="C277" s="681" t="s">
        <v>1572</v>
      </c>
      <c r="D277" s="23">
        <v>1.5959765766285754</v>
      </c>
      <c r="E277" s="683" t="s">
        <v>219</v>
      </c>
      <c r="F277" s="684" t="s">
        <v>1573</v>
      </c>
      <c r="G277" s="685" t="s">
        <v>1482</v>
      </c>
    </row>
    <row r="278" spans="3:7" ht="39.75" thickTop="1" thickBot="1">
      <c r="C278" s="681" t="s">
        <v>1574</v>
      </c>
      <c r="D278" s="23">
        <v>2.6053239250909721</v>
      </c>
      <c r="E278" s="683" t="s">
        <v>219</v>
      </c>
      <c r="F278" s="684" t="s">
        <v>1575</v>
      </c>
      <c r="G278" s="685" t="s">
        <v>1482</v>
      </c>
    </row>
    <row r="279" spans="3:7" ht="39.75" thickTop="1" thickBot="1">
      <c r="C279" s="681" t="s">
        <v>1576</v>
      </c>
      <c r="D279" s="23">
        <v>2.754199577953313</v>
      </c>
      <c r="E279" s="683" t="s">
        <v>219</v>
      </c>
      <c r="F279" s="684" t="s">
        <v>1577</v>
      </c>
      <c r="G279" s="685" t="s">
        <v>1482</v>
      </c>
    </row>
    <row r="280" spans="3:7" ht="39.75" thickTop="1" thickBot="1">
      <c r="C280" s="681" t="s">
        <v>1578</v>
      </c>
      <c r="D280" s="23">
        <v>2.9211207644959383</v>
      </c>
      <c r="E280" s="683" t="s">
        <v>219</v>
      </c>
      <c r="F280" s="684" t="s">
        <v>1579</v>
      </c>
      <c r="G280" s="685" t="s">
        <v>1482</v>
      </c>
    </row>
    <row r="281" spans="3:7" ht="39.75" thickTop="1" thickBot="1">
      <c r="C281" s="681" t="s">
        <v>1580</v>
      </c>
      <c r="D281" s="23">
        <v>4.6643702529854494</v>
      </c>
      <c r="E281" s="683" t="s">
        <v>219</v>
      </c>
      <c r="F281" s="684" t="s">
        <v>1581</v>
      </c>
      <c r="G281" s="685" t="s">
        <v>1482</v>
      </c>
    </row>
    <row r="282" spans="3:7" ht="39.75" thickTop="1" thickBot="1">
      <c r="C282" s="681" t="s">
        <v>1582</v>
      </c>
      <c r="D282" s="23">
        <v>4.6324907467711105</v>
      </c>
      <c r="E282" s="683" t="s">
        <v>219</v>
      </c>
      <c r="F282" s="684" t="s">
        <v>1583</v>
      </c>
      <c r="G282" s="685" t="s">
        <v>1482</v>
      </c>
    </row>
    <row r="283" spans="3:7" ht="39.75" thickTop="1" thickBot="1">
      <c r="C283" s="681" t="s">
        <v>1584</v>
      </c>
      <c r="D283" s="23">
        <v>0.28750881456109856</v>
      </c>
      <c r="E283" s="683" t="s">
        <v>219</v>
      </c>
      <c r="F283" s="684" t="s">
        <v>1585</v>
      </c>
      <c r="G283" s="685" t="s">
        <v>1482</v>
      </c>
    </row>
    <row r="284" spans="3:7" ht="39.75" thickTop="1" thickBot="1">
      <c r="C284" s="681" t="s">
        <v>1586</v>
      </c>
      <c r="D284" s="23">
        <v>0.28750881456109856</v>
      </c>
      <c r="E284" s="683" t="s">
        <v>219</v>
      </c>
      <c r="F284" s="684" t="s">
        <v>1585</v>
      </c>
      <c r="G284" s="685" t="s">
        <v>1482</v>
      </c>
    </row>
    <row r="285" spans="3:7" ht="39.75" thickTop="1" thickBot="1">
      <c r="C285" s="681" t="s">
        <v>1587</v>
      </c>
      <c r="D285" s="23">
        <v>0.57501762912219712</v>
      </c>
      <c r="E285" s="683" t="s">
        <v>219</v>
      </c>
      <c r="F285" s="684" t="s">
        <v>1588</v>
      </c>
      <c r="G285" s="685" t="s">
        <v>1482</v>
      </c>
    </row>
    <row r="286" spans="3:7" ht="39.75" thickTop="1" thickBot="1">
      <c r="C286" s="681" t="s">
        <v>1589</v>
      </c>
      <c r="D286" s="23">
        <v>0.65716300471108247</v>
      </c>
      <c r="E286" s="683" t="s">
        <v>219</v>
      </c>
      <c r="F286" s="684" t="s">
        <v>1590</v>
      </c>
      <c r="G286" s="685" t="s">
        <v>1482</v>
      </c>
    </row>
    <row r="287" spans="3:7" ht="39.75" thickTop="1" thickBot="1">
      <c r="C287" s="681" t="s">
        <v>1591</v>
      </c>
      <c r="D287" s="23">
        <v>0.92002820659551532</v>
      </c>
      <c r="E287" s="683" t="s">
        <v>219</v>
      </c>
      <c r="F287" s="684" t="s">
        <v>1592</v>
      </c>
      <c r="G287" s="685" t="s">
        <v>1482</v>
      </c>
    </row>
    <row r="288" spans="3:7" ht="39.75" thickTop="1" thickBot="1">
      <c r="C288" s="681" t="s">
        <v>1593</v>
      </c>
      <c r="D288" s="23">
        <v>1.2778169536048827</v>
      </c>
      <c r="E288" s="683" t="s">
        <v>219</v>
      </c>
      <c r="F288" s="684" t="s">
        <v>1594</v>
      </c>
      <c r="G288" s="685" t="s">
        <v>1482</v>
      </c>
    </row>
    <row r="289" spans="2:7" ht="39.75" thickTop="1" thickBot="1">
      <c r="C289" s="681" t="s">
        <v>1595</v>
      </c>
      <c r="D289" s="23">
        <v>1.5682298976059923</v>
      </c>
      <c r="E289" s="683" t="s">
        <v>219</v>
      </c>
      <c r="F289" s="684" t="s">
        <v>1596</v>
      </c>
      <c r="G289" s="685" t="s">
        <v>1482</v>
      </c>
    </row>
    <row r="290" spans="2:7" ht="39.75" thickTop="1" thickBot="1">
      <c r="C290" s="681" t="s">
        <v>1597</v>
      </c>
      <c r="D290" s="23">
        <v>1.9714890141332473</v>
      </c>
      <c r="E290" s="683" t="s">
        <v>219</v>
      </c>
      <c r="F290" s="684" t="s">
        <v>1598</v>
      </c>
      <c r="G290" s="685" t="s">
        <v>1482</v>
      </c>
    </row>
    <row r="291" spans="2:7" ht="39.75" thickTop="1" thickBot="1">
      <c r="C291" s="681" t="s">
        <v>1599</v>
      </c>
      <c r="D291" s="23">
        <v>1.5862555286129576</v>
      </c>
      <c r="E291" s="683" t="s">
        <v>219</v>
      </c>
      <c r="F291" s="684" t="s">
        <v>1600</v>
      </c>
      <c r="G291" s="685" t="s">
        <v>1482</v>
      </c>
    </row>
    <row r="292" spans="2:7" ht="39.75" thickTop="1" thickBot="1">
      <c r="C292" s="681" t="s">
        <v>1601</v>
      </c>
      <c r="D292" s="23">
        <v>2.4865627205284202</v>
      </c>
      <c r="E292" s="683" t="s">
        <v>219</v>
      </c>
      <c r="F292" s="684" t="s">
        <v>1602</v>
      </c>
      <c r="G292" s="685" t="s">
        <v>1482</v>
      </c>
    </row>
    <row r="293" spans="2:7" ht="39.75" thickTop="1" thickBot="1">
      <c r="C293" s="681" t="s">
        <v>1603</v>
      </c>
      <c r="D293" s="23">
        <v>2.6286520188443299</v>
      </c>
      <c r="E293" s="683" t="s">
        <v>219</v>
      </c>
      <c r="F293" s="684" t="s">
        <v>1604</v>
      </c>
      <c r="G293" s="685" t="s">
        <v>1482</v>
      </c>
    </row>
    <row r="294" spans="2:7" ht="39.75" thickTop="1" thickBot="1">
      <c r="C294" s="681" t="s">
        <v>1605</v>
      </c>
      <c r="D294" s="23">
        <v>2.7879642624106524</v>
      </c>
      <c r="E294" s="683" t="s">
        <v>219</v>
      </c>
      <c r="F294" s="684" t="s">
        <v>1606</v>
      </c>
      <c r="G294" s="685" t="s">
        <v>1482</v>
      </c>
    </row>
    <row r="295" spans="2:7" ht="39.75" thickTop="1" thickBot="1">
      <c r="C295" s="681" t="s">
        <v>1607</v>
      </c>
      <c r="D295" s="23">
        <v>4.4517493867524944</v>
      </c>
      <c r="E295" s="683" t="s">
        <v>219</v>
      </c>
      <c r="F295" s="684" t="s">
        <v>1608</v>
      </c>
      <c r="G295" s="685" t="s">
        <v>1482</v>
      </c>
    </row>
    <row r="296" spans="2:7" ht="39.75" thickTop="1" thickBot="1">
      <c r="C296" s="681" t="s">
        <v>1609</v>
      </c>
      <c r="D296" s="23">
        <v>4.5696765228254073</v>
      </c>
      <c r="E296" s="683" t="s">
        <v>219</v>
      </c>
      <c r="F296" s="684" t="s">
        <v>1610</v>
      </c>
      <c r="G296" s="685" t="s">
        <v>1482</v>
      </c>
    </row>
    <row r="297" spans="2:7" ht="31.5" thickTop="1" thickBot="1">
      <c r="B297" s="15" t="s">
        <v>1199</v>
      </c>
      <c r="C297" s="678" t="s">
        <v>1611</v>
      </c>
      <c r="D297" s="679"/>
      <c r="E297" s="679"/>
      <c r="F297" s="680"/>
      <c r="G297" s="680"/>
    </row>
    <row r="298" spans="2:7" ht="39" thickBot="1">
      <c r="C298" s="681" t="s">
        <v>1612</v>
      </c>
      <c r="D298" s="688">
        <v>9978.8583509513737</v>
      </c>
      <c r="E298" s="231" t="s">
        <v>1613</v>
      </c>
      <c r="F298" s="684" t="s">
        <v>1481</v>
      </c>
      <c r="G298" s="685" t="s">
        <v>1614</v>
      </c>
    </row>
    <row r="299" spans="2:7" ht="39.75" thickTop="1" thickBot="1">
      <c r="C299" s="681" t="s">
        <v>872</v>
      </c>
      <c r="D299" s="688">
        <v>15949.576529035689</v>
      </c>
      <c r="E299" s="231" t="s">
        <v>1613</v>
      </c>
      <c r="F299" s="684" t="s">
        <v>1481</v>
      </c>
      <c r="G299" s="685" t="s">
        <v>1614</v>
      </c>
    </row>
    <row r="300" spans="2:7" ht="39.75" thickTop="1" thickBot="1">
      <c r="C300" s="681" t="s">
        <v>1615</v>
      </c>
      <c r="D300" s="688">
        <v>15949.576529035689</v>
      </c>
      <c r="E300" s="231" t="s">
        <v>1613</v>
      </c>
      <c r="F300" s="684" t="s">
        <v>1483</v>
      </c>
      <c r="G300" s="685" t="s">
        <v>1614</v>
      </c>
    </row>
    <row r="301" spans="2:7" ht="39.75" thickTop="1" thickBot="1">
      <c r="C301" s="681" t="s">
        <v>1616</v>
      </c>
      <c r="D301" s="688">
        <v>25233.827627963725</v>
      </c>
      <c r="E301" s="231" t="s">
        <v>1613</v>
      </c>
      <c r="F301" s="684" t="s">
        <v>1485</v>
      </c>
      <c r="G301" s="685" t="s">
        <v>1614</v>
      </c>
    </row>
    <row r="302" spans="2:7" ht="39.75" thickTop="1" thickBot="1">
      <c r="C302" s="681" t="s">
        <v>1617</v>
      </c>
      <c r="D302" s="688">
        <v>34732.622001049058</v>
      </c>
      <c r="E302" s="231" t="s">
        <v>1613</v>
      </c>
      <c r="F302" s="684" t="s">
        <v>1487</v>
      </c>
      <c r="G302" s="685" t="s">
        <v>1614</v>
      </c>
    </row>
    <row r="303" spans="2:7" ht="39.75" thickTop="1" thickBot="1">
      <c r="C303" s="681" t="s">
        <v>1618</v>
      </c>
      <c r="D303" s="688">
        <v>40917.883453290669</v>
      </c>
      <c r="E303" s="231" t="s">
        <v>1613</v>
      </c>
      <c r="F303" s="684" t="s">
        <v>1489</v>
      </c>
      <c r="G303" s="685" t="s">
        <v>1614</v>
      </c>
    </row>
    <row r="304" spans="2:7" ht="39.75" thickTop="1" thickBot="1">
      <c r="C304" s="681" t="s">
        <v>1619</v>
      </c>
      <c r="D304" s="688" t="s">
        <v>1489</v>
      </c>
      <c r="E304" s="231" t="s">
        <v>1613</v>
      </c>
      <c r="F304" s="684" t="s">
        <v>1489</v>
      </c>
      <c r="G304" s="685" t="s">
        <v>1614</v>
      </c>
    </row>
    <row r="305" spans="3:7" ht="39.75" thickTop="1" thickBot="1">
      <c r="C305" s="681" t="s">
        <v>1620</v>
      </c>
      <c r="D305" s="688" t="s">
        <v>1489</v>
      </c>
      <c r="E305" s="231" t="s">
        <v>1613</v>
      </c>
      <c r="F305" s="684" t="s">
        <v>1489</v>
      </c>
      <c r="G305" s="685" t="s">
        <v>1614</v>
      </c>
    </row>
    <row r="306" spans="3:7" ht="39.75" thickTop="1" thickBot="1">
      <c r="C306" s="681" t="s">
        <v>1621</v>
      </c>
      <c r="D306" s="688" t="s">
        <v>1489</v>
      </c>
      <c r="E306" s="231" t="s">
        <v>1613</v>
      </c>
      <c r="F306" s="684" t="s">
        <v>1489</v>
      </c>
      <c r="G306" s="685" t="s">
        <v>1614</v>
      </c>
    </row>
    <row r="307" spans="3:7" ht="39.75" thickTop="1" thickBot="1">
      <c r="C307" s="681" t="s">
        <v>1622</v>
      </c>
      <c r="D307" s="688" t="s">
        <v>1489</v>
      </c>
      <c r="E307" s="231" t="s">
        <v>1613</v>
      </c>
      <c r="F307" s="684" t="s">
        <v>1489</v>
      </c>
      <c r="G307" s="685" t="s">
        <v>1614</v>
      </c>
    </row>
    <row r="308" spans="3:7" ht="39.75" thickTop="1" thickBot="1">
      <c r="C308" s="681" t="s">
        <v>1623</v>
      </c>
      <c r="D308" s="688" t="s">
        <v>1489</v>
      </c>
      <c r="E308" s="231" t="s">
        <v>1613</v>
      </c>
      <c r="F308" s="684" t="s">
        <v>1489</v>
      </c>
      <c r="G308" s="685" t="s">
        <v>1614</v>
      </c>
    </row>
    <row r="309" spans="3:7" ht="39.75" thickTop="1" thickBot="1">
      <c r="C309" s="681" t="s">
        <v>1624</v>
      </c>
      <c r="D309" s="688" t="s">
        <v>1489</v>
      </c>
      <c r="E309" s="231" t="s">
        <v>1613</v>
      </c>
      <c r="F309" s="684" t="s">
        <v>1489</v>
      </c>
      <c r="G309" s="685" t="s">
        <v>1614</v>
      </c>
    </row>
    <row r="310" spans="3:7" ht="39.75" thickTop="1" thickBot="1">
      <c r="C310" s="681" t="s">
        <v>1625</v>
      </c>
      <c r="D310" s="688" t="s">
        <v>1489</v>
      </c>
      <c r="E310" s="231" t="s">
        <v>1613</v>
      </c>
      <c r="F310" s="684" t="s">
        <v>1489</v>
      </c>
      <c r="G310" s="685" t="s">
        <v>1614</v>
      </c>
    </row>
    <row r="311" spans="3:7" ht="39.75" thickTop="1" thickBot="1">
      <c r="C311" s="681" t="s">
        <v>1626</v>
      </c>
      <c r="D311" s="688" t="s">
        <v>1489</v>
      </c>
      <c r="E311" s="231" t="s">
        <v>1613</v>
      </c>
      <c r="F311" s="684" t="s">
        <v>1489</v>
      </c>
      <c r="G311" s="685" t="s">
        <v>1614</v>
      </c>
    </row>
    <row r="312" spans="3:7" ht="39.75" thickTop="1" thickBot="1">
      <c r="C312" s="681" t="s">
        <v>1627</v>
      </c>
      <c r="D312" s="688">
        <v>7864.5559044121383</v>
      </c>
      <c r="E312" s="231" t="s">
        <v>1613</v>
      </c>
      <c r="F312" s="684" t="s">
        <v>1499</v>
      </c>
      <c r="G312" s="685" t="s">
        <v>1614</v>
      </c>
    </row>
    <row r="313" spans="3:7" ht="39.75" thickTop="1" thickBot="1">
      <c r="C313" s="681" t="s">
        <v>1628</v>
      </c>
      <c r="D313" s="688">
        <v>10486.074539216184</v>
      </c>
      <c r="E313" s="231" t="s">
        <v>1613</v>
      </c>
      <c r="F313" s="684" t="s">
        <v>1499</v>
      </c>
      <c r="G313" s="685" t="s">
        <v>1614</v>
      </c>
    </row>
    <row r="314" spans="3:7" ht="39.75" thickTop="1" thickBot="1">
      <c r="C314" s="681" t="s">
        <v>1629</v>
      </c>
      <c r="D314" s="688">
        <v>15292.192036356937</v>
      </c>
      <c r="E314" s="231" t="s">
        <v>1613</v>
      </c>
      <c r="F314" s="684" t="s">
        <v>1502</v>
      </c>
      <c r="G314" s="685" t="s">
        <v>1614</v>
      </c>
    </row>
    <row r="315" spans="3:7" ht="39.75" thickTop="1" thickBot="1">
      <c r="C315" s="681" t="s">
        <v>1630</v>
      </c>
      <c r="D315" s="688">
        <v>21845.988623367051</v>
      </c>
      <c r="E315" s="231" t="s">
        <v>1613</v>
      </c>
      <c r="F315" s="684" t="s">
        <v>1504</v>
      </c>
      <c r="G315" s="685" t="s">
        <v>1614</v>
      </c>
    </row>
    <row r="316" spans="3:7" ht="39.75" thickTop="1" thickBot="1">
      <c r="C316" s="681" t="s">
        <v>1631</v>
      </c>
      <c r="D316" s="688">
        <v>26215.186348040461</v>
      </c>
      <c r="E316" s="231" t="s">
        <v>1613</v>
      </c>
      <c r="F316" s="684" t="s">
        <v>1506</v>
      </c>
      <c r="G316" s="685" t="s">
        <v>1614</v>
      </c>
    </row>
    <row r="317" spans="3:7" ht="39.75" thickTop="1" thickBot="1">
      <c r="C317" s="681" t="s">
        <v>1632</v>
      </c>
      <c r="D317" s="688" t="s">
        <v>1489</v>
      </c>
      <c r="E317" s="231" t="s">
        <v>1613</v>
      </c>
      <c r="F317" s="684" t="s">
        <v>1489</v>
      </c>
      <c r="G317" s="685" t="s">
        <v>1614</v>
      </c>
    </row>
    <row r="318" spans="3:7" ht="39.75" thickTop="1" thickBot="1">
      <c r="C318" s="681" t="s">
        <v>1633</v>
      </c>
      <c r="D318" s="688" t="s">
        <v>1489</v>
      </c>
      <c r="E318" s="231" t="s">
        <v>1613</v>
      </c>
      <c r="F318" s="684" t="s">
        <v>1489</v>
      </c>
      <c r="G318" s="685" t="s">
        <v>1614</v>
      </c>
    </row>
    <row r="319" spans="3:7" ht="39.75" thickTop="1" thickBot="1">
      <c r="C319" s="681" t="s">
        <v>1634</v>
      </c>
      <c r="D319" s="688" t="s">
        <v>1489</v>
      </c>
      <c r="E319" s="231" t="s">
        <v>1613</v>
      </c>
      <c r="F319" s="684" t="s">
        <v>1489</v>
      </c>
      <c r="G319" s="685" t="s">
        <v>1614</v>
      </c>
    </row>
    <row r="320" spans="3:7" ht="39.75" thickTop="1" thickBot="1">
      <c r="C320" s="681" t="s">
        <v>1635</v>
      </c>
      <c r="D320" s="688" t="s">
        <v>1489</v>
      </c>
      <c r="E320" s="231" t="s">
        <v>1613</v>
      </c>
      <c r="F320" s="684" t="s">
        <v>1489</v>
      </c>
      <c r="G320" s="685" t="s">
        <v>1614</v>
      </c>
    </row>
    <row r="321" spans="3:7" ht="39.75" thickTop="1" thickBot="1">
      <c r="C321" s="681" t="s">
        <v>1636</v>
      </c>
      <c r="D321" s="688" t="s">
        <v>1489</v>
      </c>
      <c r="E321" s="231" t="s">
        <v>1613</v>
      </c>
      <c r="F321" s="684" t="s">
        <v>1489</v>
      </c>
      <c r="G321" s="685" t="s">
        <v>1614</v>
      </c>
    </row>
    <row r="322" spans="3:7" ht="39.75" thickTop="1" thickBot="1">
      <c r="C322" s="681" t="s">
        <v>1637</v>
      </c>
      <c r="D322" s="688" t="s">
        <v>1489</v>
      </c>
      <c r="E322" s="231" t="s">
        <v>1613</v>
      </c>
      <c r="F322" s="684" t="s">
        <v>1489</v>
      </c>
      <c r="G322" s="685" t="s">
        <v>1614</v>
      </c>
    </row>
    <row r="323" spans="3:7" ht="39.75" thickTop="1" thickBot="1">
      <c r="C323" s="681" t="s">
        <v>1638</v>
      </c>
      <c r="D323" s="688" t="s">
        <v>1489</v>
      </c>
      <c r="E323" s="231" t="s">
        <v>1613</v>
      </c>
      <c r="F323" s="684" t="s">
        <v>1489</v>
      </c>
      <c r="G323" s="685" t="s">
        <v>1614</v>
      </c>
    </row>
    <row r="324" spans="3:7" ht="39.75" thickTop="1" thickBot="1">
      <c r="C324" s="681" t="s">
        <v>1639</v>
      </c>
      <c r="D324" s="688" t="s">
        <v>1489</v>
      </c>
      <c r="E324" s="231" t="s">
        <v>1613</v>
      </c>
      <c r="F324" s="684" t="s">
        <v>1489</v>
      </c>
      <c r="G324" s="685" t="s">
        <v>1614</v>
      </c>
    </row>
    <row r="325" spans="3:7" ht="39.75" thickTop="1" thickBot="1">
      <c r="C325" s="681" t="s">
        <v>1640</v>
      </c>
      <c r="D325" s="688" t="s">
        <v>1489</v>
      </c>
      <c r="E325" s="231" t="s">
        <v>1613</v>
      </c>
      <c r="F325" s="684" t="s">
        <v>1489</v>
      </c>
      <c r="G325" s="685" t="s">
        <v>1614</v>
      </c>
    </row>
    <row r="326" spans="3:7" ht="39.75" thickTop="1" thickBot="1">
      <c r="C326" s="681" t="s">
        <v>1641</v>
      </c>
      <c r="D326" s="688">
        <v>5498.650197718237</v>
      </c>
      <c r="E326" s="231" t="s">
        <v>1613</v>
      </c>
      <c r="F326" s="684" t="s">
        <v>1516</v>
      </c>
      <c r="G326" s="685" t="s">
        <v>1614</v>
      </c>
    </row>
    <row r="327" spans="3:7" ht="39.75" thickTop="1" thickBot="1">
      <c r="C327" s="681" t="s">
        <v>1642</v>
      </c>
      <c r="D327" s="688">
        <v>7813.8713335996017</v>
      </c>
      <c r="E327" s="231" t="s">
        <v>1613</v>
      </c>
      <c r="F327" s="684" t="s">
        <v>1516</v>
      </c>
      <c r="G327" s="685" t="s">
        <v>1614</v>
      </c>
    </row>
    <row r="328" spans="3:7" ht="39.75" thickTop="1" thickBot="1">
      <c r="C328" s="681" t="s">
        <v>1643</v>
      </c>
      <c r="D328" s="688">
        <v>12127.032727222624</v>
      </c>
      <c r="E328" s="231" t="s">
        <v>1613</v>
      </c>
      <c r="F328" s="684" t="s">
        <v>1519</v>
      </c>
      <c r="G328" s="685" t="s">
        <v>1614</v>
      </c>
    </row>
    <row r="329" spans="3:7" ht="39.75" thickTop="1" thickBot="1">
      <c r="C329" s="681" t="s">
        <v>1644</v>
      </c>
      <c r="D329" s="688">
        <v>18726.289942187497</v>
      </c>
      <c r="E329" s="231" t="s">
        <v>1613</v>
      </c>
      <c r="F329" s="684" t="s">
        <v>1521</v>
      </c>
      <c r="G329" s="685" t="s">
        <v>1614</v>
      </c>
    </row>
    <row r="330" spans="3:7" ht="39.75" thickTop="1" thickBot="1">
      <c r="C330" s="681" t="s">
        <v>1645</v>
      </c>
      <c r="D330" s="688">
        <v>28847.085317574842</v>
      </c>
      <c r="E330" s="231" t="s">
        <v>1613</v>
      </c>
      <c r="F330" s="684" t="s">
        <v>1523</v>
      </c>
      <c r="G330" s="685" t="s">
        <v>1614</v>
      </c>
    </row>
    <row r="331" spans="3:7" ht="39.75" thickTop="1" thickBot="1">
      <c r="C331" s="681" t="s">
        <v>1646</v>
      </c>
      <c r="D331" s="688">
        <v>40277.612698286088</v>
      </c>
      <c r="E331" s="231" t="s">
        <v>1613</v>
      </c>
      <c r="F331" s="684" t="s">
        <v>1525</v>
      </c>
      <c r="G331" s="685" t="s">
        <v>1614</v>
      </c>
    </row>
    <row r="332" spans="3:7" ht="39.75" thickTop="1" thickBot="1">
      <c r="C332" s="681" t="s">
        <v>1647</v>
      </c>
      <c r="D332" s="688">
        <v>55169.790317106315</v>
      </c>
      <c r="E332" s="231" t="s">
        <v>1613</v>
      </c>
      <c r="F332" s="684" t="s">
        <v>1527</v>
      </c>
      <c r="G332" s="685" t="s">
        <v>1614</v>
      </c>
    </row>
    <row r="333" spans="3:7" ht="39.75" thickTop="1" thickBot="1">
      <c r="C333" s="681" t="s">
        <v>1648</v>
      </c>
      <c r="D333" s="688">
        <v>64150.918973379441</v>
      </c>
      <c r="E333" s="231" t="s">
        <v>1613</v>
      </c>
      <c r="F333" s="684" t="s">
        <v>1529</v>
      </c>
      <c r="G333" s="685" t="s">
        <v>1614</v>
      </c>
    </row>
    <row r="334" spans="3:7" ht="39.75" thickTop="1" thickBot="1">
      <c r="C334" s="681" t="s">
        <v>1649</v>
      </c>
      <c r="D334" s="688" t="s">
        <v>1489</v>
      </c>
      <c r="E334" s="231" t="s">
        <v>1613</v>
      </c>
      <c r="F334" s="684" t="s">
        <v>1489</v>
      </c>
      <c r="G334" s="685" t="s">
        <v>1614</v>
      </c>
    </row>
    <row r="335" spans="3:7" ht="39.75" thickTop="1" thickBot="1">
      <c r="C335" s="681" t="s">
        <v>1650</v>
      </c>
      <c r="D335" s="688" t="s">
        <v>1489</v>
      </c>
      <c r="E335" s="231" t="s">
        <v>1613</v>
      </c>
      <c r="F335" s="684" t="s">
        <v>1489</v>
      </c>
      <c r="G335" s="685" t="s">
        <v>1614</v>
      </c>
    </row>
    <row r="336" spans="3:7" ht="39.75" thickTop="1" thickBot="1">
      <c r="C336" s="681" t="s">
        <v>1651</v>
      </c>
      <c r="D336" s="688" t="s">
        <v>1489</v>
      </c>
      <c r="E336" s="231" t="s">
        <v>1613</v>
      </c>
      <c r="F336" s="684" t="s">
        <v>1489</v>
      </c>
      <c r="G336" s="685" t="s">
        <v>1614</v>
      </c>
    </row>
    <row r="337" spans="3:7" ht="39.75" thickTop="1" thickBot="1">
      <c r="C337" s="681" t="s">
        <v>1652</v>
      </c>
      <c r="D337" s="688" t="s">
        <v>1489</v>
      </c>
      <c r="E337" s="231" t="s">
        <v>1613</v>
      </c>
      <c r="F337" s="684" t="s">
        <v>1489</v>
      </c>
      <c r="G337" s="685" t="s">
        <v>1614</v>
      </c>
    </row>
    <row r="338" spans="3:7" ht="39.75" thickTop="1" thickBot="1">
      <c r="C338" s="681" t="s">
        <v>1653</v>
      </c>
      <c r="D338" s="688" t="s">
        <v>1489</v>
      </c>
      <c r="E338" s="231" t="s">
        <v>1613</v>
      </c>
      <c r="F338" s="684" t="s">
        <v>1489</v>
      </c>
      <c r="G338" s="685" t="s">
        <v>1614</v>
      </c>
    </row>
    <row r="339" spans="3:7" ht="39.75" thickTop="1" thickBot="1">
      <c r="C339" s="681" t="s">
        <v>1654</v>
      </c>
      <c r="D339" s="688" t="s">
        <v>1489</v>
      </c>
      <c r="E339" s="231" t="s">
        <v>1613</v>
      </c>
      <c r="F339" s="684" t="s">
        <v>1489</v>
      </c>
      <c r="G339" s="685" t="s">
        <v>1614</v>
      </c>
    </row>
    <row r="340" spans="3:7" ht="39.75" thickTop="1" thickBot="1">
      <c r="C340" s="681" t="s">
        <v>1655</v>
      </c>
      <c r="D340" s="688">
        <v>4618.8661660833195</v>
      </c>
      <c r="E340" s="231" t="s">
        <v>1613</v>
      </c>
      <c r="F340" s="684" t="s">
        <v>1537</v>
      </c>
      <c r="G340" s="685" t="s">
        <v>1614</v>
      </c>
    </row>
    <row r="341" spans="3:7" ht="39.75" thickTop="1" thickBot="1">
      <c r="C341" s="681" t="s">
        <v>1656</v>
      </c>
      <c r="D341" s="688">
        <v>6433.4207313303377</v>
      </c>
      <c r="E341" s="231" t="s">
        <v>1613</v>
      </c>
      <c r="F341" s="684" t="s">
        <v>1537</v>
      </c>
      <c r="G341" s="685" t="s">
        <v>1614</v>
      </c>
    </row>
    <row r="342" spans="3:7" ht="39.75" thickTop="1" thickBot="1">
      <c r="C342" s="681" t="s">
        <v>1657</v>
      </c>
      <c r="D342" s="688">
        <v>9688.8866435697855</v>
      </c>
      <c r="E342" s="231" t="s">
        <v>1613</v>
      </c>
      <c r="F342" s="684" t="s">
        <v>1539</v>
      </c>
      <c r="G342" s="685" t="s">
        <v>1614</v>
      </c>
    </row>
    <row r="343" spans="3:7" ht="39.75" thickTop="1" thickBot="1">
      <c r="C343" s="681" t="s">
        <v>1658</v>
      </c>
      <c r="D343" s="688">
        <v>14118.354858398365</v>
      </c>
      <c r="E343" s="231" t="s">
        <v>1613</v>
      </c>
      <c r="F343" s="684" t="s">
        <v>1541</v>
      </c>
      <c r="G343" s="685" t="s">
        <v>1614</v>
      </c>
    </row>
    <row r="344" spans="3:7" ht="39.75" thickTop="1" thickBot="1">
      <c r="C344" s="681" t="s">
        <v>1659</v>
      </c>
      <c r="D344" s="688">
        <v>20581.753170625903</v>
      </c>
      <c r="E344" s="231" t="s">
        <v>1613</v>
      </c>
      <c r="F344" s="684" t="s">
        <v>1543</v>
      </c>
      <c r="G344" s="685" t="s">
        <v>1614</v>
      </c>
    </row>
    <row r="345" spans="3:7" ht="39.75" thickTop="1" thickBot="1">
      <c r="C345" s="681" t="s">
        <v>1660</v>
      </c>
      <c r="D345" s="688">
        <v>25884.895805758606</v>
      </c>
      <c r="E345" s="231" t="s">
        <v>1613</v>
      </c>
      <c r="F345" s="684" t="s">
        <v>1545</v>
      </c>
      <c r="G345" s="685" t="s">
        <v>1614</v>
      </c>
    </row>
    <row r="346" spans="3:7" ht="39.75" thickTop="1" thickBot="1">
      <c r="C346" s="681" t="s">
        <v>1661</v>
      </c>
      <c r="D346" s="688">
        <v>33101.874190263792</v>
      </c>
      <c r="E346" s="231" t="s">
        <v>1613</v>
      </c>
      <c r="F346" s="684" t="s">
        <v>1547</v>
      </c>
      <c r="G346" s="685" t="s">
        <v>1614</v>
      </c>
    </row>
    <row r="347" spans="3:7" ht="39.75" thickTop="1" thickBot="1">
      <c r="C347" s="681" t="s">
        <v>1662</v>
      </c>
      <c r="D347" s="688">
        <v>37252.551193313324</v>
      </c>
      <c r="E347" s="231" t="s">
        <v>1613</v>
      </c>
      <c r="F347" s="684" t="s">
        <v>1549</v>
      </c>
      <c r="G347" s="685" t="s">
        <v>1614</v>
      </c>
    </row>
    <row r="348" spans="3:7" ht="39.75" thickTop="1" thickBot="1">
      <c r="C348" s="681" t="s">
        <v>1663</v>
      </c>
      <c r="D348" s="688">
        <v>44736.825073540924</v>
      </c>
      <c r="E348" s="231" t="s">
        <v>1613</v>
      </c>
      <c r="F348" s="684" t="s">
        <v>1551</v>
      </c>
      <c r="G348" s="685" t="s">
        <v>1614</v>
      </c>
    </row>
    <row r="349" spans="3:7" ht="39.75" thickTop="1" thickBot="1">
      <c r="C349" s="681" t="s">
        <v>1664</v>
      </c>
      <c r="D349" s="688">
        <v>69182.363598742537</v>
      </c>
      <c r="E349" s="231" t="s">
        <v>1613</v>
      </c>
      <c r="F349" s="684" t="s">
        <v>1553</v>
      </c>
      <c r="G349" s="685" t="s">
        <v>1614</v>
      </c>
    </row>
    <row r="350" spans="3:7" ht="39.75" thickTop="1" thickBot="1">
      <c r="C350" s="681" t="s">
        <v>1665</v>
      </c>
      <c r="D350" s="688">
        <v>87558.928929658519</v>
      </c>
      <c r="E350" s="231" t="s">
        <v>1613</v>
      </c>
      <c r="F350" s="684" t="s">
        <v>1483</v>
      </c>
      <c r="G350" s="685" t="s">
        <v>1614</v>
      </c>
    </row>
    <row r="351" spans="3:7" ht="39.75" thickTop="1" thickBot="1">
      <c r="C351" s="681" t="s">
        <v>1666</v>
      </c>
      <c r="D351" s="688">
        <v>93219.304133191996</v>
      </c>
      <c r="E351" s="231" t="s">
        <v>1613</v>
      </c>
      <c r="F351" s="684" t="s">
        <v>1556</v>
      </c>
      <c r="G351" s="685" t="s">
        <v>1614</v>
      </c>
    </row>
    <row r="352" spans="3:7" ht="39.75" thickTop="1" thickBot="1">
      <c r="C352" s="681" t="s">
        <v>1667</v>
      </c>
      <c r="D352" s="688">
        <v>96226.378460069158</v>
      </c>
      <c r="E352" s="231" t="s">
        <v>1613</v>
      </c>
      <c r="F352" s="684" t="s">
        <v>1485</v>
      </c>
      <c r="G352" s="685" t="s">
        <v>1614</v>
      </c>
    </row>
    <row r="353" spans="3:7" ht="39.75" thickTop="1" thickBot="1">
      <c r="C353" s="681" t="s">
        <v>1668</v>
      </c>
      <c r="D353" s="688" t="s">
        <v>1489</v>
      </c>
      <c r="E353" s="231" t="s">
        <v>1613</v>
      </c>
      <c r="F353" s="684" t="s">
        <v>1489</v>
      </c>
      <c r="G353" s="685" t="s">
        <v>1614</v>
      </c>
    </row>
    <row r="354" spans="3:7" ht="39.75" thickTop="1" thickBot="1">
      <c r="C354" s="681" t="s">
        <v>1669</v>
      </c>
      <c r="D354" s="688">
        <v>3912.2153095927724</v>
      </c>
      <c r="E354" s="231" t="s">
        <v>1613</v>
      </c>
      <c r="F354" s="684" t="s">
        <v>1559</v>
      </c>
      <c r="G354" s="685" t="s">
        <v>1614</v>
      </c>
    </row>
    <row r="355" spans="3:7" ht="39.75" thickTop="1" thickBot="1">
      <c r="C355" s="681" t="s">
        <v>1670</v>
      </c>
      <c r="D355" s="688">
        <v>5559.4638610002567</v>
      </c>
      <c r="E355" s="231" t="s">
        <v>1613</v>
      </c>
      <c r="F355" s="684" t="s">
        <v>1559</v>
      </c>
      <c r="G355" s="685" t="s">
        <v>1614</v>
      </c>
    </row>
    <row r="356" spans="3:7" ht="39.75" thickTop="1" thickBot="1">
      <c r="C356" s="681" t="s">
        <v>1671</v>
      </c>
      <c r="D356" s="688">
        <v>8428.9962356575124</v>
      </c>
      <c r="E356" s="231" t="s">
        <v>1613</v>
      </c>
      <c r="F356" s="684" t="s">
        <v>1561</v>
      </c>
      <c r="G356" s="685" t="s">
        <v>1614</v>
      </c>
    </row>
    <row r="357" spans="3:7" ht="39.75" thickTop="1" thickBot="1">
      <c r="C357" s="681" t="s">
        <v>1672</v>
      </c>
      <c r="D357" s="688">
        <v>12128.441940693487</v>
      </c>
      <c r="E357" s="231" t="s">
        <v>1613</v>
      </c>
      <c r="F357" s="684" t="s">
        <v>1563</v>
      </c>
      <c r="G357" s="685" t="s">
        <v>1614</v>
      </c>
    </row>
    <row r="358" spans="3:7" ht="39.75" thickTop="1" thickBot="1">
      <c r="C358" s="681" t="s">
        <v>1673</v>
      </c>
      <c r="D358" s="688">
        <v>15860.772900974036</v>
      </c>
      <c r="E358" s="231" t="s">
        <v>1613</v>
      </c>
      <c r="F358" s="684" t="s">
        <v>1565</v>
      </c>
      <c r="G358" s="685" t="s">
        <v>1614</v>
      </c>
    </row>
    <row r="359" spans="3:7" ht="39.75" thickTop="1" thickBot="1">
      <c r="C359" s="681" t="s">
        <v>1674</v>
      </c>
      <c r="D359" s="688">
        <v>18577.058977715678</v>
      </c>
      <c r="E359" s="231" t="s">
        <v>1613</v>
      </c>
      <c r="F359" s="684" t="s">
        <v>1567</v>
      </c>
      <c r="G359" s="685" t="s">
        <v>1614</v>
      </c>
    </row>
    <row r="360" spans="3:7" ht="39.75" thickTop="1" thickBot="1">
      <c r="C360" s="681" t="s">
        <v>1675</v>
      </c>
      <c r="D360" s="688">
        <v>23059.805686624066</v>
      </c>
      <c r="E360" s="231" t="s">
        <v>1613</v>
      </c>
      <c r="F360" s="684" t="s">
        <v>1569</v>
      </c>
      <c r="G360" s="685" t="s">
        <v>1614</v>
      </c>
    </row>
    <row r="361" spans="3:7" ht="39.75" thickTop="1" thickBot="1">
      <c r="C361" s="681" t="s">
        <v>1676</v>
      </c>
      <c r="D361" s="688">
        <v>28415.03751177909</v>
      </c>
      <c r="E361" s="231" t="s">
        <v>1613</v>
      </c>
      <c r="F361" s="684" t="s">
        <v>1571</v>
      </c>
      <c r="G361" s="685" t="s">
        <v>1614</v>
      </c>
    </row>
    <row r="362" spans="3:7" ht="39.75" thickTop="1" thickBot="1">
      <c r="C362" s="681" t="s">
        <v>1677</v>
      </c>
      <c r="D362" s="688">
        <v>31602.768504780615</v>
      </c>
      <c r="E362" s="231" t="s">
        <v>1613</v>
      </c>
      <c r="F362" s="684" t="s">
        <v>1573</v>
      </c>
      <c r="G362" s="685" t="s">
        <v>1614</v>
      </c>
    </row>
    <row r="363" spans="3:7" ht="39.75" thickTop="1" thickBot="1">
      <c r="C363" s="681" t="s">
        <v>1678</v>
      </c>
      <c r="D363" s="688">
        <v>42003.04367249061</v>
      </c>
      <c r="E363" s="231" t="s">
        <v>1613</v>
      </c>
      <c r="F363" s="684" t="s">
        <v>1575</v>
      </c>
      <c r="G363" s="685" t="s">
        <v>1614</v>
      </c>
    </row>
    <row r="364" spans="3:7" ht="39.75" thickTop="1" thickBot="1">
      <c r="C364" s="681" t="s">
        <v>1679</v>
      </c>
      <c r="D364" s="688">
        <v>53160.102147995931</v>
      </c>
      <c r="E364" s="231" t="s">
        <v>1613</v>
      </c>
      <c r="F364" s="684" t="s">
        <v>1577</v>
      </c>
      <c r="G364" s="685" t="s">
        <v>1614</v>
      </c>
    </row>
    <row r="365" spans="3:7" ht="39.75" thickTop="1" thickBot="1">
      <c r="C365" s="681" t="s">
        <v>1680</v>
      </c>
      <c r="D365" s="688">
        <v>56596.714812108796</v>
      </c>
      <c r="E365" s="231" t="s">
        <v>1613</v>
      </c>
      <c r="F365" s="684" t="s">
        <v>1579</v>
      </c>
      <c r="G365" s="685" t="s">
        <v>1614</v>
      </c>
    </row>
    <row r="366" spans="3:7" ht="39.75" thickTop="1" thickBot="1">
      <c r="C366" s="681" t="s">
        <v>1681</v>
      </c>
      <c r="D366" s="688">
        <v>65244.769706998079</v>
      </c>
      <c r="E366" s="231" t="s">
        <v>1613</v>
      </c>
      <c r="F366" s="684" t="s">
        <v>1581</v>
      </c>
      <c r="G366" s="685" t="s">
        <v>1614</v>
      </c>
    </row>
    <row r="367" spans="3:7" ht="39.75" thickTop="1" thickBot="1">
      <c r="C367" s="681" t="s">
        <v>1682</v>
      </c>
      <c r="D367" s="688">
        <v>72067.124124077411</v>
      </c>
      <c r="E367" s="231" t="s">
        <v>1613</v>
      </c>
      <c r="F367" s="684" t="s">
        <v>1583</v>
      </c>
      <c r="G367" s="685" t="s">
        <v>1614</v>
      </c>
    </row>
    <row r="368" spans="3:7" ht="39.75" thickTop="1" thickBot="1">
      <c r="C368" s="681" t="s">
        <v>1683</v>
      </c>
      <c r="D368" s="688">
        <v>3484.9553280133155</v>
      </c>
      <c r="E368" s="231" t="s">
        <v>1613</v>
      </c>
      <c r="F368" s="684" t="s">
        <v>1585</v>
      </c>
      <c r="G368" s="685" t="s">
        <v>1614</v>
      </c>
    </row>
    <row r="369" spans="2:7" ht="39.75" thickTop="1" thickBot="1">
      <c r="C369" s="681" t="s">
        <v>1684</v>
      </c>
      <c r="D369" s="688">
        <v>5227.4329920199734</v>
      </c>
      <c r="E369" s="231" t="s">
        <v>1613</v>
      </c>
      <c r="F369" s="684" t="s">
        <v>1585</v>
      </c>
      <c r="G369" s="685" t="s">
        <v>1614</v>
      </c>
    </row>
    <row r="370" spans="2:7" ht="39.75" thickTop="1" thickBot="1">
      <c r="C370" s="681" t="s">
        <v>1685</v>
      </c>
      <c r="D370" s="688">
        <v>8131.562432031069</v>
      </c>
      <c r="E370" s="231" t="s">
        <v>1613</v>
      </c>
      <c r="F370" s="684" t="s">
        <v>1588</v>
      </c>
      <c r="G370" s="685" t="s">
        <v>1614</v>
      </c>
    </row>
    <row r="371" spans="2:7" ht="39.75" thickTop="1" thickBot="1">
      <c r="C371" s="681" t="s">
        <v>1686</v>
      </c>
      <c r="D371" s="688">
        <v>11616.517760044386</v>
      </c>
      <c r="E371" s="231" t="s">
        <v>1613</v>
      </c>
      <c r="F371" s="684" t="s">
        <v>1590</v>
      </c>
      <c r="G371" s="685" t="s">
        <v>1614</v>
      </c>
    </row>
    <row r="372" spans="2:7" ht="39.75" thickTop="1" thickBot="1">
      <c r="C372" s="681" t="s">
        <v>1687</v>
      </c>
      <c r="D372" s="688">
        <v>15682.298976059919</v>
      </c>
      <c r="E372" s="231" t="s">
        <v>1613</v>
      </c>
      <c r="F372" s="684" t="s">
        <v>1592</v>
      </c>
      <c r="G372" s="685" t="s">
        <v>1614</v>
      </c>
    </row>
    <row r="373" spans="2:7" ht="39.75" thickTop="1" thickBot="1">
      <c r="C373" s="681" t="s">
        <v>1688</v>
      </c>
      <c r="D373" s="688">
        <v>19167.254304073234</v>
      </c>
      <c r="E373" s="231" t="s">
        <v>1613</v>
      </c>
      <c r="F373" s="684" t="s">
        <v>1594</v>
      </c>
      <c r="G373" s="685" t="s">
        <v>1614</v>
      </c>
    </row>
    <row r="374" spans="2:7" ht="39.75" thickTop="1" thickBot="1">
      <c r="C374" s="681" t="s">
        <v>1689</v>
      </c>
      <c r="D374" s="688">
        <v>24394.687296093209</v>
      </c>
      <c r="E374" s="231" t="s">
        <v>1613</v>
      </c>
      <c r="F374" s="684" t="s">
        <v>1596</v>
      </c>
      <c r="G374" s="685" t="s">
        <v>1614</v>
      </c>
    </row>
    <row r="375" spans="2:7" ht="39.75" thickTop="1" thickBot="1">
      <c r="C375" s="681" t="s">
        <v>1690</v>
      </c>
      <c r="D375" s="688">
        <v>28613.317430004066</v>
      </c>
      <c r="E375" s="231" t="s">
        <v>1613</v>
      </c>
      <c r="F375" s="684" t="s">
        <v>1598</v>
      </c>
      <c r="G375" s="685" t="s">
        <v>1614</v>
      </c>
    </row>
    <row r="376" spans="2:7" ht="39.75" thickTop="1" thickBot="1">
      <c r="C376" s="681" t="s">
        <v>1691</v>
      </c>
      <c r="D376" s="688">
        <v>30162.186464676652</v>
      </c>
      <c r="E376" s="231" t="s">
        <v>1613</v>
      </c>
      <c r="F376" s="684" t="s">
        <v>1600</v>
      </c>
      <c r="G376" s="685" t="s">
        <v>1614</v>
      </c>
    </row>
    <row r="377" spans="2:7" ht="39.75" thickTop="1" thickBot="1">
      <c r="C377" s="681" t="s">
        <v>1692</v>
      </c>
      <c r="D377" s="688">
        <v>40088.375015055135</v>
      </c>
      <c r="E377" s="231" t="s">
        <v>1613</v>
      </c>
      <c r="F377" s="684" t="s">
        <v>1602</v>
      </c>
      <c r="G377" s="685" t="s">
        <v>1614</v>
      </c>
    </row>
    <row r="378" spans="2:7" ht="39.75" thickTop="1" thickBot="1">
      <c r="C378" s="681" t="s">
        <v>1693</v>
      </c>
      <c r="D378" s="688">
        <v>50736.849628429147</v>
      </c>
      <c r="E378" s="231" t="s">
        <v>1613</v>
      </c>
      <c r="F378" s="684" t="s">
        <v>1604</v>
      </c>
      <c r="G378" s="685" t="s">
        <v>1614</v>
      </c>
    </row>
    <row r="379" spans="2:7" ht="39.75" thickTop="1" thickBot="1">
      <c r="C379" s="681" t="s">
        <v>1694</v>
      </c>
      <c r="D379" s="688">
        <v>54016.807584206384</v>
      </c>
      <c r="E379" s="231" t="s">
        <v>1613</v>
      </c>
      <c r="F379" s="684" t="s">
        <v>1606</v>
      </c>
      <c r="G379" s="685" t="s">
        <v>1614</v>
      </c>
    </row>
    <row r="380" spans="2:7" ht="39.75" thickTop="1" thickBot="1">
      <c r="C380" s="681" t="s">
        <v>1695</v>
      </c>
      <c r="D380" s="688">
        <v>64563.382918983523</v>
      </c>
      <c r="E380" s="231" t="s">
        <v>1613</v>
      </c>
      <c r="F380" s="684" t="s">
        <v>1608</v>
      </c>
      <c r="G380" s="685" t="s">
        <v>1614</v>
      </c>
    </row>
    <row r="381" spans="2:7" ht="39.75" thickTop="1" thickBot="1">
      <c r="C381" s="681" t="s">
        <v>1696</v>
      </c>
      <c r="D381" s="688">
        <v>73367.480589754006</v>
      </c>
      <c r="E381" s="231" t="s">
        <v>1613</v>
      </c>
      <c r="F381" s="684" t="s">
        <v>1610</v>
      </c>
      <c r="G381" s="685" t="s">
        <v>1614</v>
      </c>
    </row>
    <row r="382" spans="2:7" ht="31.5" thickTop="1" thickBot="1">
      <c r="B382" s="15" t="s">
        <v>1199</v>
      </c>
      <c r="C382" s="678" t="s">
        <v>1697</v>
      </c>
      <c r="D382" s="679"/>
      <c r="E382" s="679"/>
      <c r="F382" s="680"/>
      <c r="G382" s="680"/>
    </row>
    <row r="383" spans="2:7" ht="39" thickBot="1">
      <c r="C383" s="681" t="s">
        <v>879</v>
      </c>
      <c r="D383" s="688">
        <v>14160</v>
      </c>
      <c r="E383" s="231" t="s">
        <v>1613</v>
      </c>
      <c r="F383" s="684" t="s">
        <v>1698</v>
      </c>
      <c r="G383" s="685" t="s">
        <v>1699</v>
      </c>
    </row>
    <row r="384" spans="2:7" ht="39.75" thickTop="1" thickBot="1">
      <c r="C384" s="681" t="s">
        <v>1700</v>
      </c>
      <c r="D384" s="688" t="s">
        <v>1489</v>
      </c>
      <c r="E384" s="231" t="s">
        <v>1613</v>
      </c>
      <c r="F384" s="684" t="s">
        <v>1698</v>
      </c>
      <c r="G384" s="685" t="s">
        <v>1699</v>
      </c>
    </row>
    <row r="385" spans="3:7" ht="39.75" thickTop="1" thickBot="1">
      <c r="C385" s="681" t="s">
        <v>1701</v>
      </c>
      <c r="D385" s="688" t="s">
        <v>1489</v>
      </c>
      <c r="E385" s="231" t="s">
        <v>1613</v>
      </c>
      <c r="F385" s="684" t="s">
        <v>1698</v>
      </c>
      <c r="G385" s="685" t="s">
        <v>1699</v>
      </c>
    </row>
    <row r="386" spans="3:7" ht="39.75" thickTop="1" thickBot="1">
      <c r="C386" s="681" t="s">
        <v>737</v>
      </c>
      <c r="D386" s="688">
        <v>6726.2274169792872</v>
      </c>
      <c r="E386" s="231" t="s">
        <v>1613</v>
      </c>
      <c r="F386" s="684" t="s">
        <v>1698</v>
      </c>
      <c r="G386" s="685" t="s">
        <v>1699</v>
      </c>
    </row>
    <row r="387" spans="3:7" ht="39.75" thickTop="1" thickBot="1">
      <c r="C387" s="681" t="s">
        <v>883</v>
      </c>
      <c r="D387" s="688">
        <v>4959.7434488837189</v>
      </c>
      <c r="E387" s="231" t="s">
        <v>1613</v>
      </c>
      <c r="F387" s="684" t="s">
        <v>1698</v>
      </c>
      <c r="G387" s="685" t="s">
        <v>1699</v>
      </c>
    </row>
    <row r="388" spans="3:7" ht="39.75" thickTop="1" thickBot="1">
      <c r="C388" s="681" t="s">
        <v>736</v>
      </c>
      <c r="D388" s="688">
        <v>4384.0589414240003</v>
      </c>
      <c r="E388" s="231" t="s">
        <v>1613</v>
      </c>
      <c r="F388" s="684" t="s">
        <v>1698</v>
      </c>
      <c r="G388" s="685" t="s">
        <v>1699</v>
      </c>
    </row>
    <row r="389" spans="3:7" ht="39.75" thickTop="1" thickBot="1">
      <c r="C389" s="681" t="s">
        <v>1702</v>
      </c>
      <c r="D389" s="688">
        <v>4384.0589414240003</v>
      </c>
      <c r="E389" s="231" t="s">
        <v>1613</v>
      </c>
      <c r="F389" s="684" t="s">
        <v>1698</v>
      </c>
      <c r="G389" s="685" t="s">
        <v>1699</v>
      </c>
    </row>
    <row r="390" spans="3:7" ht="39.75" thickTop="1" thickBot="1">
      <c r="C390" s="681" t="s">
        <v>884</v>
      </c>
      <c r="D390" s="688">
        <v>9450</v>
      </c>
      <c r="E390" s="231" t="s">
        <v>1613</v>
      </c>
      <c r="F390" s="684" t="s">
        <v>1698</v>
      </c>
      <c r="G390" s="685" t="s">
        <v>1699</v>
      </c>
    </row>
    <row r="391" spans="3:7" ht="39.75" thickTop="1" thickBot="1">
      <c r="C391" s="681" t="s">
        <v>1703</v>
      </c>
      <c r="D391" s="688" t="s">
        <v>1489</v>
      </c>
      <c r="E391" s="231" t="s">
        <v>1613</v>
      </c>
      <c r="F391" s="684" t="s">
        <v>1698</v>
      </c>
      <c r="G391" s="685" t="s">
        <v>1699</v>
      </c>
    </row>
    <row r="392" spans="3:7" ht="39.75" thickTop="1" thickBot="1">
      <c r="C392" s="681" t="s">
        <v>1704</v>
      </c>
      <c r="D392" s="688" t="s">
        <v>1489</v>
      </c>
      <c r="E392" s="231" t="s">
        <v>1613</v>
      </c>
      <c r="F392" s="684" t="s">
        <v>1698</v>
      </c>
      <c r="G392" s="685" t="s">
        <v>1699</v>
      </c>
    </row>
    <row r="393" spans="3:7" ht="39.75" thickTop="1" thickBot="1">
      <c r="C393" s="681" t="s">
        <v>1705</v>
      </c>
      <c r="D393" s="688" t="s">
        <v>1489</v>
      </c>
      <c r="E393" s="231" t="s">
        <v>1613</v>
      </c>
      <c r="F393" s="684" t="s">
        <v>1698</v>
      </c>
      <c r="G393" s="685" t="s">
        <v>1699</v>
      </c>
    </row>
    <row r="394" spans="3:7" ht="39.75" thickTop="1" thickBot="1">
      <c r="C394" s="681" t="s">
        <v>1706</v>
      </c>
      <c r="D394" s="688">
        <v>2996.0212969189101</v>
      </c>
      <c r="E394" s="231" t="s">
        <v>1613</v>
      </c>
      <c r="F394" s="684" t="s">
        <v>1698</v>
      </c>
      <c r="G394" s="685" t="s">
        <v>1699</v>
      </c>
    </row>
    <row r="395" spans="3:7" ht="39.75" thickTop="1" thickBot="1">
      <c r="C395" s="681" t="s">
        <v>1707</v>
      </c>
      <c r="D395" s="688">
        <v>2621.5186348040461</v>
      </c>
      <c r="E395" s="231" t="s">
        <v>1613</v>
      </c>
      <c r="F395" s="684" t="s">
        <v>1698</v>
      </c>
      <c r="G395" s="685" t="s">
        <v>1699</v>
      </c>
    </row>
    <row r="396" spans="3:7" ht="39.75" thickTop="1" thickBot="1">
      <c r="C396" s="681" t="s">
        <v>1708</v>
      </c>
      <c r="D396" s="688">
        <v>2621.5186348040461</v>
      </c>
      <c r="E396" s="231" t="s">
        <v>1613</v>
      </c>
      <c r="F396" s="684" t="s">
        <v>1698</v>
      </c>
      <c r="G396" s="685" t="s">
        <v>1699</v>
      </c>
    </row>
    <row r="397" spans="3:7" ht="39.75" thickTop="1" thickBot="1">
      <c r="C397" s="681" t="s">
        <v>1709</v>
      </c>
      <c r="D397" s="688">
        <v>4665.5213798821424</v>
      </c>
      <c r="E397" s="231" t="s">
        <v>1613</v>
      </c>
      <c r="F397" s="684" t="s">
        <v>1698</v>
      </c>
      <c r="G397" s="685" t="s">
        <v>1699</v>
      </c>
    </row>
    <row r="398" spans="3:7" ht="39.75" thickTop="1" thickBot="1">
      <c r="C398" s="681" t="s">
        <v>1710</v>
      </c>
      <c r="D398" s="688" t="s">
        <v>1489</v>
      </c>
      <c r="E398" s="231" t="s">
        <v>1613</v>
      </c>
      <c r="F398" s="684" t="s">
        <v>1698</v>
      </c>
      <c r="G398" s="685" t="s">
        <v>1699</v>
      </c>
    </row>
    <row r="399" spans="3:7" ht="39.75" thickTop="1" thickBot="1">
      <c r="C399" s="681" t="s">
        <v>1711</v>
      </c>
      <c r="D399" s="688" t="s">
        <v>1489</v>
      </c>
      <c r="E399" s="231" t="s">
        <v>1613</v>
      </c>
      <c r="F399" s="684" t="s">
        <v>1698</v>
      </c>
      <c r="G399" s="685" t="s">
        <v>1699</v>
      </c>
    </row>
    <row r="400" spans="3:7" ht="39.75" thickTop="1" thickBot="1">
      <c r="C400" s="681" t="s">
        <v>1712</v>
      </c>
      <c r="D400" s="688">
        <v>10741.549223449578</v>
      </c>
      <c r="E400" s="231" t="s">
        <v>1613</v>
      </c>
      <c r="F400" s="684" t="s">
        <v>1698</v>
      </c>
      <c r="G400" s="685" t="s">
        <v>1699</v>
      </c>
    </row>
    <row r="401" spans="3:7" ht="39.75" thickTop="1" thickBot="1">
      <c r="C401" s="681" t="s">
        <v>1713</v>
      </c>
      <c r="D401" s="688">
        <v>3519.1361265396722</v>
      </c>
      <c r="E401" s="231" t="s">
        <v>1613</v>
      </c>
      <c r="F401" s="684" t="s">
        <v>1698</v>
      </c>
      <c r="G401" s="685" t="s">
        <v>1699</v>
      </c>
    </row>
    <row r="402" spans="3:7" ht="39.75" thickTop="1" thickBot="1">
      <c r="C402" s="681" t="s">
        <v>1714</v>
      </c>
      <c r="D402" s="688">
        <v>2359.574031204761</v>
      </c>
      <c r="E402" s="231" t="s">
        <v>1613</v>
      </c>
      <c r="F402" s="684" t="s">
        <v>1698</v>
      </c>
      <c r="G402" s="685" t="s">
        <v>1699</v>
      </c>
    </row>
    <row r="403" spans="3:7" ht="39.75" thickTop="1" thickBot="1">
      <c r="C403" s="681" t="s">
        <v>1715</v>
      </c>
      <c r="D403" s="688">
        <v>2359.574031204761</v>
      </c>
      <c r="E403" s="231" t="s">
        <v>1613</v>
      </c>
      <c r="F403" s="684" t="s">
        <v>1698</v>
      </c>
      <c r="G403" s="685" t="s">
        <v>1699</v>
      </c>
    </row>
    <row r="404" spans="3:7" ht="39.75" thickTop="1" thickBot="1">
      <c r="C404" s="681" t="s">
        <v>1716</v>
      </c>
      <c r="D404" s="688">
        <v>3421.3823452469032</v>
      </c>
      <c r="E404" s="231" t="s">
        <v>1613</v>
      </c>
      <c r="F404" s="684" t="s">
        <v>1698</v>
      </c>
      <c r="G404" s="685" t="s">
        <v>1699</v>
      </c>
    </row>
    <row r="405" spans="3:7" ht="39.75" thickTop="1" thickBot="1">
      <c r="C405" s="681" t="s">
        <v>1717</v>
      </c>
      <c r="D405" s="688" t="s">
        <v>1489</v>
      </c>
      <c r="E405" s="231" t="s">
        <v>1613</v>
      </c>
      <c r="F405" s="684" t="s">
        <v>1698</v>
      </c>
      <c r="G405" s="685" t="s">
        <v>1699</v>
      </c>
    </row>
    <row r="406" spans="3:7" ht="39.75" thickTop="1" thickBot="1">
      <c r="C406" s="681" t="s">
        <v>1718</v>
      </c>
      <c r="D406" s="688">
        <v>5498.6501977182379</v>
      </c>
      <c r="E406" s="231" t="s">
        <v>1613</v>
      </c>
      <c r="F406" s="684" t="s">
        <v>1698</v>
      </c>
      <c r="G406" s="685" t="s">
        <v>1699</v>
      </c>
    </row>
    <row r="407" spans="3:7" ht="39.75" thickTop="1" thickBot="1">
      <c r="C407" s="681" t="s">
        <v>1719</v>
      </c>
      <c r="D407" s="688">
        <v>4907.1619294377888</v>
      </c>
      <c r="E407" s="231" t="s">
        <v>1613</v>
      </c>
      <c r="F407" s="684" t="s">
        <v>1698</v>
      </c>
      <c r="G407" s="685" t="s">
        <v>1699</v>
      </c>
    </row>
    <row r="408" spans="3:7" ht="39.75" thickTop="1" thickBot="1">
      <c r="C408" s="681" t="s">
        <v>1720</v>
      </c>
      <c r="D408" s="688">
        <v>5151.1518580854863</v>
      </c>
      <c r="E408" s="231" t="s">
        <v>1613</v>
      </c>
      <c r="F408" s="684" t="s">
        <v>1698</v>
      </c>
      <c r="G408" s="685" t="s">
        <v>1699</v>
      </c>
    </row>
    <row r="409" spans="3:7" ht="39.75" thickTop="1" thickBot="1">
      <c r="C409" s="681" t="s">
        <v>1721</v>
      </c>
      <c r="D409" s="688">
        <v>2697.1481261800404</v>
      </c>
      <c r="E409" s="231" t="s">
        <v>1613</v>
      </c>
      <c r="F409" s="684" t="s">
        <v>1698</v>
      </c>
      <c r="G409" s="685" t="s">
        <v>1699</v>
      </c>
    </row>
    <row r="410" spans="3:7" ht="39.75" thickTop="1" thickBot="1">
      <c r="C410" s="681" t="s">
        <v>1722</v>
      </c>
      <c r="D410" s="688">
        <v>2697.1481261800404</v>
      </c>
      <c r="E410" s="231" t="s">
        <v>1613</v>
      </c>
      <c r="F410" s="684" t="s">
        <v>1698</v>
      </c>
      <c r="G410" s="685" t="s">
        <v>1699</v>
      </c>
    </row>
    <row r="411" spans="3:7" ht="39.75" thickTop="1" thickBot="1">
      <c r="C411" s="681" t="s">
        <v>820</v>
      </c>
      <c r="D411" s="688">
        <v>2845.9459459459458</v>
      </c>
      <c r="E411" s="231" t="s">
        <v>1613</v>
      </c>
      <c r="F411" s="684" t="s">
        <v>1698</v>
      </c>
      <c r="G411" s="685" t="s">
        <v>1699</v>
      </c>
    </row>
    <row r="412" spans="3:7" ht="39.75" thickTop="1" thickBot="1">
      <c r="C412" s="681" t="s">
        <v>1723</v>
      </c>
      <c r="D412" s="688">
        <v>3743.4268660776638</v>
      </c>
      <c r="E412" s="231" t="s">
        <v>1613</v>
      </c>
      <c r="F412" s="684" t="s">
        <v>1698</v>
      </c>
      <c r="G412" s="685" t="s">
        <v>1699</v>
      </c>
    </row>
    <row r="413" spans="3:7" ht="39.75" thickTop="1" thickBot="1">
      <c r="C413" s="681" t="s">
        <v>1724</v>
      </c>
      <c r="D413" s="688">
        <v>3769.1880832205643</v>
      </c>
      <c r="E413" s="231" t="s">
        <v>1613</v>
      </c>
      <c r="F413" s="684" t="s">
        <v>1698</v>
      </c>
      <c r="G413" s="685" t="s">
        <v>1699</v>
      </c>
    </row>
    <row r="414" spans="3:7" ht="39.75" thickTop="1" thickBot="1">
      <c r="C414" s="681" t="s">
        <v>1725</v>
      </c>
      <c r="D414" s="688">
        <v>3157.9683940496625</v>
      </c>
      <c r="E414" s="231" t="s">
        <v>1613</v>
      </c>
      <c r="F414" s="684" t="s">
        <v>1698</v>
      </c>
      <c r="G414" s="685" t="s">
        <v>1699</v>
      </c>
    </row>
    <row r="415" spans="3:7" ht="39.75" thickTop="1" thickBot="1">
      <c r="C415" s="681" t="s">
        <v>1726</v>
      </c>
      <c r="D415" s="688">
        <v>3692.4279326493597</v>
      </c>
      <c r="E415" s="231" t="s">
        <v>1613</v>
      </c>
      <c r="F415" s="684" t="s">
        <v>1698</v>
      </c>
      <c r="G415" s="685" t="s">
        <v>1699</v>
      </c>
    </row>
    <row r="416" spans="3:7" ht="39.75" thickTop="1" thickBot="1">
      <c r="C416" s="681" t="s">
        <v>1727</v>
      </c>
      <c r="D416" s="688">
        <v>3152.2885947797886</v>
      </c>
      <c r="E416" s="231" t="s">
        <v>1613</v>
      </c>
      <c r="F416" s="684" t="s">
        <v>1698</v>
      </c>
      <c r="G416" s="685" t="s">
        <v>1699</v>
      </c>
    </row>
    <row r="417" spans="2:7" ht="39.75" thickTop="1" thickBot="1">
      <c r="C417" s="681" t="s">
        <v>1728</v>
      </c>
      <c r="D417" s="688">
        <v>2324.4992820922585</v>
      </c>
      <c r="E417" s="231" t="s">
        <v>1613</v>
      </c>
      <c r="F417" s="684" t="s">
        <v>1698</v>
      </c>
      <c r="G417" s="685" t="s">
        <v>1699</v>
      </c>
    </row>
    <row r="418" spans="2:7" ht="39.75" thickTop="1" thickBot="1">
      <c r="C418" s="681" t="s">
        <v>1729</v>
      </c>
      <c r="D418" s="688">
        <v>2787.9642624106523</v>
      </c>
      <c r="E418" s="231" t="s">
        <v>1613</v>
      </c>
      <c r="F418" s="684" t="s">
        <v>1698</v>
      </c>
      <c r="G418" s="685" t="s">
        <v>1699</v>
      </c>
    </row>
    <row r="419" spans="2:7" ht="39.75" thickTop="1" thickBot="1">
      <c r="C419" s="681" t="s">
        <v>1730</v>
      </c>
      <c r="D419" s="688">
        <v>3692.6678972326513</v>
      </c>
      <c r="E419" s="231" t="s">
        <v>1613</v>
      </c>
      <c r="F419" s="684" t="s">
        <v>1698</v>
      </c>
      <c r="G419" s="685" t="s">
        <v>1699</v>
      </c>
    </row>
    <row r="420" spans="2:7" ht="39.75" thickTop="1" thickBot="1">
      <c r="C420" s="681" t="s">
        <v>1731</v>
      </c>
      <c r="D420" s="688">
        <v>3692.6678972326513</v>
      </c>
      <c r="E420" s="231" t="s">
        <v>1613</v>
      </c>
      <c r="F420" s="684" t="s">
        <v>1698</v>
      </c>
      <c r="G420" s="685" t="s">
        <v>1699</v>
      </c>
    </row>
    <row r="421" spans="2:7" ht="39.75" thickTop="1" thickBot="1">
      <c r="C421" s="681" t="s">
        <v>1732</v>
      </c>
      <c r="D421" s="688">
        <v>3186.2448713264598</v>
      </c>
      <c r="E421" s="231" t="s">
        <v>1613</v>
      </c>
      <c r="F421" s="684" t="s">
        <v>1698</v>
      </c>
      <c r="G421" s="685" t="s">
        <v>1699</v>
      </c>
    </row>
    <row r="422" spans="2:7" ht="39.75" thickTop="1" thickBot="1">
      <c r="C422" s="681" t="s">
        <v>1733</v>
      </c>
      <c r="D422" s="688">
        <v>4779.3673069896895</v>
      </c>
      <c r="E422" s="231" t="s">
        <v>1613</v>
      </c>
      <c r="F422" s="684" t="s">
        <v>1698</v>
      </c>
      <c r="G422" s="685" t="s">
        <v>1699</v>
      </c>
    </row>
    <row r="423" spans="2:7" ht="39.75" thickTop="1" thickBot="1">
      <c r="C423" s="681" t="s">
        <v>1734</v>
      </c>
      <c r="D423" s="688">
        <v>3801.7694487417994</v>
      </c>
      <c r="E423" s="231" t="s">
        <v>1613</v>
      </c>
      <c r="F423" s="684" t="s">
        <v>1698</v>
      </c>
      <c r="G423" s="685" t="s">
        <v>1699</v>
      </c>
    </row>
    <row r="424" spans="2:7" ht="39.75" thickTop="1" thickBot="1">
      <c r="C424" s="681" t="s">
        <v>1735</v>
      </c>
      <c r="D424" s="688">
        <v>3097.7380693451701</v>
      </c>
      <c r="E424" s="231" t="s">
        <v>1613</v>
      </c>
      <c r="F424" s="684" t="s">
        <v>1698</v>
      </c>
      <c r="G424" s="685" t="s">
        <v>1699</v>
      </c>
    </row>
    <row r="425" spans="2:7" ht="31.5" thickTop="1" thickBot="1">
      <c r="B425" s="15" t="s">
        <v>1199</v>
      </c>
      <c r="C425" s="678" t="s">
        <v>1736</v>
      </c>
      <c r="D425" s="679"/>
      <c r="E425" s="679"/>
      <c r="F425" s="680"/>
      <c r="G425" s="680"/>
    </row>
    <row r="426" spans="2:7" ht="39" thickBot="1">
      <c r="C426" s="681" t="s">
        <v>1612</v>
      </c>
      <c r="D426" s="690">
        <v>0.99788583509513729</v>
      </c>
      <c r="E426" s="231" t="s">
        <v>1737</v>
      </c>
      <c r="F426" s="685" t="s">
        <v>1738</v>
      </c>
      <c r="G426" s="685" t="s">
        <v>1739</v>
      </c>
    </row>
    <row r="427" spans="2:7" ht="39.75" thickTop="1" thickBot="1">
      <c r="C427" s="681" t="s">
        <v>872</v>
      </c>
      <c r="D427" s="690">
        <v>1.5949576529035687</v>
      </c>
      <c r="E427" s="231" t="s">
        <v>1737</v>
      </c>
      <c r="F427" s="685" t="s">
        <v>1738</v>
      </c>
      <c r="G427" s="685" t="s">
        <v>1739</v>
      </c>
    </row>
    <row r="428" spans="2:7" ht="39.75" thickTop="1" thickBot="1">
      <c r="C428" s="681" t="s">
        <v>1615</v>
      </c>
      <c r="D428" s="690">
        <v>2.5233827627963725</v>
      </c>
      <c r="E428" s="231" t="s">
        <v>1737</v>
      </c>
      <c r="F428" s="685" t="s">
        <v>1738</v>
      </c>
      <c r="G428" s="685" t="s">
        <v>1739</v>
      </c>
    </row>
    <row r="429" spans="2:7" ht="39.75" thickTop="1" thickBot="1">
      <c r="C429" s="681" t="s">
        <v>1616</v>
      </c>
      <c r="D429" s="690">
        <v>3.4732622001049061</v>
      </c>
      <c r="E429" s="231" t="s">
        <v>1737</v>
      </c>
      <c r="F429" s="685" t="s">
        <v>1738</v>
      </c>
      <c r="G429" s="685" t="s">
        <v>1739</v>
      </c>
    </row>
    <row r="430" spans="2:7" ht="39.75" thickTop="1" thickBot="1">
      <c r="C430" s="681" t="s">
        <v>1617</v>
      </c>
      <c r="D430" s="690">
        <v>4.0917883453290669</v>
      </c>
      <c r="E430" s="231" t="s">
        <v>1737</v>
      </c>
      <c r="F430" s="685" t="s">
        <v>1738</v>
      </c>
      <c r="G430" s="685" t="s">
        <v>1739</v>
      </c>
    </row>
    <row r="431" spans="2:7" ht="39.75" thickTop="1" thickBot="1">
      <c r="C431" s="681" t="s">
        <v>1618</v>
      </c>
      <c r="D431" s="690" t="s">
        <v>1489</v>
      </c>
      <c r="E431" s="231" t="s">
        <v>1737</v>
      </c>
      <c r="F431" s="685" t="s">
        <v>1738</v>
      </c>
      <c r="G431" s="685" t="s">
        <v>1739</v>
      </c>
    </row>
    <row r="432" spans="2:7" ht="39.75" thickTop="1" thickBot="1">
      <c r="C432" s="681" t="s">
        <v>1619</v>
      </c>
      <c r="D432" s="690" t="s">
        <v>1489</v>
      </c>
      <c r="E432" s="231" t="s">
        <v>1737</v>
      </c>
      <c r="F432" s="685" t="s">
        <v>1738</v>
      </c>
      <c r="G432" s="685" t="s">
        <v>1739</v>
      </c>
    </row>
    <row r="433" spans="3:7" ht="39.75" thickTop="1" thickBot="1">
      <c r="C433" s="681" t="s">
        <v>1620</v>
      </c>
      <c r="D433" s="690" t="s">
        <v>1489</v>
      </c>
      <c r="E433" s="231" t="s">
        <v>1737</v>
      </c>
      <c r="F433" s="685" t="s">
        <v>1738</v>
      </c>
      <c r="G433" s="685" t="s">
        <v>1739</v>
      </c>
    </row>
    <row r="434" spans="3:7" ht="39.75" thickTop="1" thickBot="1">
      <c r="C434" s="681" t="s">
        <v>1621</v>
      </c>
      <c r="D434" s="690" t="s">
        <v>1489</v>
      </c>
      <c r="E434" s="231" t="s">
        <v>1737</v>
      </c>
      <c r="F434" s="685" t="s">
        <v>1738</v>
      </c>
      <c r="G434" s="685" t="s">
        <v>1739</v>
      </c>
    </row>
    <row r="435" spans="3:7" ht="39.75" thickTop="1" thickBot="1">
      <c r="C435" s="681" t="s">
        <v>1622</v>
      </c>
      <c r="D435" s="690" t="s">
        <v>1489</v>
      </c>
      <c r="E435" s="231" t="s">
        <v>1737</v>
      </c>
      <c r="F435" s="685" t="s">
        <v>1738</v>
      </c>
      <c r="G435" s="685" t="s">
        <v>1739</v>
      </c>
    </row>
    <row r="436" spans="3:7" ht="39.75" thickTop="1" thickBot="1">
      <c r="C436" s="681" t="s">
        <v>1623</v>
      </c>
      <c r="D436" s="690" t="s">
        <v>1489</v>
      </c>
      <c r="E436" s="231" t="s">
        <v>1737</v>
      </c>
      <c r="F436" s="685" t="s">
        <v>1738</v>
      </c>
      <c r="G436" s="685" t="s">
        <v>1739</v>
      </c>
    </row>
    <row r="437" spans="3:7" ht="39.75" thickTop="1" thickBot="1">
      <c r="C437" s="681" t="s">
        <v>1624</v>
      </c>
      <c r="D437" s="690" t="s">
        <v>1489</v>
      </c>
      <c r="E437" s="231" t="s">
        <v>1737</v>
      </c>
      <c r="F437" s="685" t="s">
        <v>1738</v>
      </c>
      <c r="G437" s="685" t="s">
        <v>1739</v>
      </c>
    </row>
    <row r="438" spans="3:7" ht="39.75" thickTop="1" thickBot="1">
      <c r="C438" s="681" t="s">
        <v>1625</v>
      </c>
      <c r="D438" s="690" t="s">
        <v>1489</v>
      </c>
      <c r="E438" s="231" t="s">
        <v>1737</v>
      </c>
      <c r="F438" s="685" t="s">
        <v>1738</v>
      </c>
      <c r="G438" s="685" t="s">
        <v>1739</v>
      </c>
    </row>
    <row r="439" spans="3:7" ht="39.75" thickTop="1" thickBot="1">
      <c r="C439" s="681" t="s">
        <v>1626</v>
      </c>
      <c r="D439" s="690" t="s">
        <v>1489</v>
      </c>
      <c r="E439" s="231" t="s">
        <v>1737</v>
      </c>
      <c r="F439" s="685" t="s">
        <v>1738</v>
      </c>
      <c r="G439" s="685" t="s">
        <v>1739</v>
      </c>
    </row>
    <row r="440" spans="3:7" ht="39.75" thickTop="1" thickBot="1">
      <c r="C440" s="681" t="s">
        <v>1627</v>
      </c>
      <c r="D440" s="690">
        <v>0.78645559044121383</v>
      </c>
      <c r="E440" s="231" t="s">
        <v>1737</v>
      </c>
      <c r="F440" s="685" t="s">
        <v>1738</v>
      </c>
      <c r="G440" s="685" t="s">
        <v>1739</v>
      </c>
    </row>
    <row r="441" spans="3:7" ht="39.75" thickTop="1" thickBot="1">
      <c r="C441" s="681" t="s">
        <v>1628</v>
      </c>
      <c r="D441" s="690">
        <v>1.0486074539216186</v>
      </c>
      <c r="E441" s="231" t="s">
        <v>1737</v>
      </c>
      <c r="F441" s="685" t="s">
        <v>1738</v>
      </c>
      <c r="G441" s="685" t="s">
        <v>1739</v>
      </c>
    </row>
    <row r="442" spans="3:7" ht="39.75" thickTop="1" thickBot="1">
      <c r="C442" s="681" t="s">
        <v>1629</v>
      </c>
      <c r="D442" s="690">
        <v>1.5292192036356935</v>
      </c>
      <c r="E442" s="231" t="s">
        <v>1737</v>
      </c>
      <c r="F442" s="685" t="s">
        <v>1738</v>
      </c>
      <c r="G442" s="685" t="s">
        <v>1739</v>
      </c>
    </row>
    <row r="443" spans="3:7" ht="39.75" thickTop="1" thickBot="1">
      <c r="C443" s="681" t="s">
        <v>1630</v>
      </c>
      <c r="D443" s="690">
        <v>2.1845988623367054</v>
      </c>
      <c r="E443" s="231" t="s">
        <v>1737</v>
      </c>
      <c r="F443" s="685" t="s">
        <v>1738</v>
      </c>
      <c r="G443" s="685" t="s">
        <v>1739</v>
      </c>
    </row>
    <row r="444" spans="3:7" ht="39.75" thickTop="1" thickBot="1">
      <c r="C444" s="681" t="s">
        <v>1631</v>
      </c>
      <c r="D444" s="690">
        <v>2.6215186348040462</v>
      </c>
      <c r="E444" s="231" t="s">
        <v>1737</v>
      </c>
      <c r="F444" s="685" t="s">
        <v>1738</v>
      </c>
      <c r="G444" s="685" t="s">
        <v>1739</v>
      </c>
    </row>
    <row r="445" spans="3:7" ht="39.75" thickTop="1" thickBot="1">
      <c r="C445" s="681" t="s">
        <v>1632</v>
      </c>
      <c r="D445" s="690" t="s">
        <v>1489</v>
      </c>
      <c r="E445" s="231" t="s">
        <v>1737</v>
      </c>
      <c r="F445" s="685" t="s">
        <v>1738</v>
      </c>
      <c r="G445" s="685" t="s">
        <v>1739</v>
      </c>
    </row>
    <row r="446" spans="3:7" ht="39.75" thickTop="1" thickBot="1">
      <c r="C446" s="681" t="s">
        <v>1633</v>
      </c>
      <c r="D446" s="690" t="s">
        <v>1489</v>
      </c>
      <c r="E446" s="231" t="s">
        <v>1737</v>
      </c>
      <c r="F446" s="685" t="s">
        <v>1738</v>
      </c>
      <c r="G446" s="685" t="s">
        <v>1739</v>
      </c>
    </row>
    <row r="447" spans="3:7" ht="39.75" thickTop="1" thickBot="1">
      <c r="C447" s="681" t="s">
        <v>1634</v>
      </c>
      <c r="D447" s="690" t="s">
        <v>1489</v>
      </c>
      <c r="E447" s="231" t="s">
        <v>1737</v>
      </c>
      <c r="F447" s="685" t="s">
        <v>1738</v>
      </c>
      <c r="G447" s="685" t="s">
        <v>1739</v>
      </c>
    </row>
    <row r="448" spans="3:7" ht="39.75" thickTop="1" thickBot="1">
      <c r="C448" s="681" t="s">
        <v>1635</v>
      </c>
      <c r="D448" s="690" t="s">
        <v>1489</v>
      </c>
      <c r="E448" s="231" t="s">
        <v>1737</v>
      </c>
      <c r="F448" s="685" t="s">
        <v>1738</v>
      </c>
      <c r="G448" s="685" t="s">
        <v>1739</v>
      </c>
    </row>
    <row r="449" spans="3:7" ht="39.75" thickTop="1" thickBot="1">
      <c r="C449" s="681" t="s">
        <v>1636</v>
      </c>
      <c r="D449" s="690" t="s">
        <v>1489</v>
      </c>
      <c r="E449" s="231" t="s">
        <v>1737</v>
      </c>
      <c r="F449" s="685" t="s">
        <v>1738</v>
      </c>
      <c r="G449" s="685" t="s">
        <v>1739</v>
      </c>
    </row>
    <row r="450" spans="3:7" ht="39.75" thickTop="1" thickBot="1">
      <c r="C450" s="681" t="s">
        <v>1637</v>
      </c>
      <c r="D450" s="690" t="s">
        <v>1489</v>
      </c>
      <c r="E450" s="231" t="s">
        <v>1737</v>
      </c>
      <c r="F450" s="685" t="s">
        <v>1738</v>
      </c>
      <c r="G450" s="685" t="s">
        <v>1739</v>
      </c>
    </row>
    <row r="451" spans="3:7" ht="39.75" thickTop="1" thickBot="1">
      <c r="C451" s="681" t="s">
        <v>1638</v>
      </c>
      <c r="D451" s="690" t="s">
        <v>1489</v>
      </c>
      <c r="E451" s="231" t="s">
        <v>1737</v>
      </c>
      <c r="F451" s="685" t="s">
        <v>1738</v>
      </c>
      <c r="G451" s="685" t="s">
        <v>1739</v>
      </c>
    </row>
    <row r="452" spans="3:7" ht="39.75" thickTop="1" thickBot="1">
      <c r="C452" s="681" t="s">
        <v>1639</v>
      </c>
      <c r="D452" s="690" t="s">
        <v>1489</v>
      </c>
      <c r="E452" s="231" t="s">
        <v>1737</v>
      </c>
      <c r="F452" s="685" t="s">
        <v>1738</v>
      </c>
      <c r="G452" s="685" t="s">
        <v>1739</v>
      </c>
    </row>
    <row r="453" spans="3:7" ht="39.75" thickTop="1" thickBot="1">
      <c r="C453" s="681" t="s">
        <v>1640</v>
      </c>
      <c r="D453" s="690" t="s">
        <v>1489</v>
      </c>
      <c r="E453" s="231" t="s">
        <v>1737</v>
      </c>
      <c r="F453" s="685" t="s">
        <v>1738</v>
      </c>
      <c r="G453" s="685" t="s">
        <v>1739</v>
      </c>
    </row>
    <row r="454" spans="3:7" ht="39.75" thickTop="1" thickBot="1">
      <c r="C454" s="681" t="s">
        <v>1641</v>
      </c>
      <c r="D454" s="690">
        <v>0.54986501977182367</v>
      </c>
      <c r="E454" s="231" t="s">
        <v>1737</v>
      </c>
      <c r="F454" s="685" t="s">
        <v>1738</v>
      </c>
      <c r="G454" s="685" t="s">
        <v>1739</v>
      </c>
    </row>
    <row r="455" spans="3:7" ht="39.75" thickTop="1" thickBot="1">
      <c r="C455" s="681" t="s">
        <v>1642</v>
      </c>
      <c r="D455" s="690">
        <v>0.78138713335996002</v>
      </c>
      <c r="E455" s="231" t="s">
        <v>1737</v>
      </c>
      <c r="F455" s="685" t="s">
        <v>1738</v>
      </c>
      <c r="G455" s="685" t="s">
        <v>1739</v>
      </c>
    </row>
    <row r="456" spans="3:7" ht="39.75" thickTop="1" thickBot="1">
      <c r="C456" s="681" t="s">
        <v>1643</v>
      </c>
      <c r="D456" s="690">
        <v>1.2127032727222624</v>
      </c>
      <c r="E456" s="231" t="s">
        <v>1737</v>
      </c>
      <c r="F456" s="685" t="s">
        <v>1738</v>
      </c>
      <c r="G456" s="685" t="s">
        <v>1739</v>
      </c>
    </row>
    <row r="457" spans="3:7" ht="39.75" thickTop="1" thickBot="1">
      <c r="C457" s="681" t="s">
        <v>1644</v>
      </c>
      <c r="D457" s="690">
        <v>1.8726289942187497</v>
      </c>
      <c r="E457" s="231" t="s">
        <v>1737</v>
      </c>
      <c r="F457" s="685" t="s">
        <v>1738</v>
      </c>
      <c r="G457" s="685" t="s">
        <v>1739</v>
      </c>
    </row>
    <row r="458" spans="3:7" ht="39.75" thickTop="1" thickBot="1">
      <c r="C458" s="681" t="s">
        <v>1645</v>
      </c>
      <c r="D458" s="690">
        <v>2.8847085317574845</v>
      </c>
      <c r="E458" s="231" t="s">
        <v>1737</v>
      </c>
      <c r="F458" s="685" t="s">
        <v>1738</v>
      </c>
      <c r="G458" s="685" t="s">
        <v>1739</v>
      </c>
    </row>
    <row r="459" spans="3:7" ht="39.75" thickTop="1" thickBot="1">
      <c r="C459" s="681" t="s">
        <v>1646</v>
      </c>
      <c r="D459" s="690">
        <v>4.0277612698286092</v>
      </c>
      <c r="E459" s="231" t="s">
        <v>1737</v>
      </c>
      <c r="F459" s="685" t="s">
        <v>1738</v>
      </c>
      <c r="G459" s="685" t="s">
        <v>1739</v>
      </c>
    </row>
    <row r="460" spans="3:7" ht="39.75" thickTop="1" thickBot="1">
      <c r="C460" s="681" t="s">
        <v>1647</v>
      </c>
      <c r="D460" s="690">
        <v>5.5169790317106315</v>
      </c>
      <c r="E460" s="231" t="s">
        <v>1737</v>
      </c>
      <c r="F460" s="685" t="s">
        <v>1738</v>
      </c>
      <c r="G460" s="685" t="s">
        <v>1739</v>
      </c>
    </row>
    <row r="461" spans="3:7" ht="39.75" thickTop="1" thickBot="1">
      <c r="C461" s="681" t="s">
        <v>1648</v>
      </c>
      <c r="D461" s="690">
        <v>6.4150918973379438</v>
      </c>
      <c r="E461" s="231" t="s">
        <v>1737</v>
      </c>
      <c r="F461" s="685" t="s">
        <v>1738</v>
      </c>
      <c r="G461" s="685" t="s">
        <v>1739</v>
      </c>
    </row>
    <row r="462" spans="3:7" ht="39.75" thickTop="1" thickBot="1">
      <c r="C462" s="681" t="s">
        <v>1649</v>
      </c>
      <c r="D462" s="690" t="s">
        <v>1489</v>
      </c>
      <c r="E462" s="231" t="s">
        <v>1737</v>
      </c>
      <c r="F462" s="685" t="s">
        <v>1738</v>
      </c>
      <c r="G462" s="685" t="s">
        <v>1739</v>
      </c>
    </row>
    <row r="463" spans="3:7" ht="39.75" thickTop="1" thickBot="1">
      <c r="C463" s="681" t="s">
        <v>1650</v>
      </c>
      <c r="D463" s="690" t="s">
        <v>1489</v>
      </c>
      <c r="E463" s="231" t="s">
        <v>1737</v>
      </c>
      <c r="F463" s="685" t="s">
        <v>1738</v>
      </c>
      <c r="G463" s="685" t="s">
        <v>1739</v>
      </c>
    </row>
    <row r="464" spans="3:7" ht="39.75" thickTop="1" thickBot="1">
      <c r="C464" s="681" t="s">
        <v>1651</v>
      </c>
      <c r="D464" s="690" t="s">
        <v>1489</v>
      </c>
      <c r="E464" s="231" t="s">
        <v>1737</v>
      </c>
      <c r="F464" s="685" t="s">
        <v>1738</v>
      </c>
      <c r="G464" s="685" t="s">
        <v>1739</v>
      </c>
    </row>
    <row r="465" spans="3:7" ht="39.75" thickTop="1" thickBot="1">
      <c r="C465" s="681" t="s">
        <v>1652</v>
      </c>
      <c r="D465" s="690" t="s">
        <v>1489</v>
      </c>
      <c r="E465" s="231" t="s">
        <v>1737</v>
      </c>
      <c r="F465" s="685" t="s">
        <v>1738</v>
      </c>
      <c r="G465" s="685" t="s">
        <v>1739</v>
      </c>
    </row>
    <row r="466" spans="3:7" ht="39.75" thickTop="1" thickBot="1">
      <c r="C466" s="681" t="s">
        <v>1653</v>
      </c>
      <c r="D466" s="690" t="s">
        <v>1489</v>
      </c>
      <c r="E466" s="231" t="s">
        <v>1737</v>
      </c>
      <c r="F466" s="685" t="s">
        <v>1738</v>
      </c>
      <c r="G466" s="685" t="s">
        <v>1739</v>
      </c>
    </row>
    <row r="467" spans="3:7" ht="39.75" thickTop="1" thickBot="1">
      <c r="C467" s="681" t="s">
        <v>1654</v>
      </c>
      <c r="D467" s="690" t="s">
        <v>1489</v>
      </c>
      <c r="E467" s="231" t="s">
        <v>1737</v>
      </c>
      <c r="F467" s="685" t="s">
        <v>1738</v>
      </c>
      <c r="G467" s="685" t="s">
        <v>1739</v>
      </c>
    </row>
    <row r="468" spans="3:7" ht="39.75" thickTop="1" thickBot="1">
      <c r="C468" s="681" t="s">
        <v>1655</v>
      </c>
      <c r="D468" s="690">
        <v>0.46188661660833191</v>
      </c>
      <c r="E468" s="231" t="s">
        <v>1737</v>
      </c>
      <c r="F468" s="685" t="s">
        <v>1738</v>
      </c>
      <c r="G468" s="685" t="s">
        <v>1739</v>
      </c>
    </row>
    <row r="469" spans="3:7" ht="39.75" thickTop="1" thickBot="1">
      <c r="C469" s="681" t="s">
        <v>1656</v>
      </c>
      <c r="D469" s="690">
        <v>0.64334207313303371</v>
      </c>
      <c r="E469" s="231" t="s">
        <v>1737</v>
      </c>
      <c r="F469" s="685" t="s">
        <v>1738</v>
      </c>
      <c r="G469" s="685" t="s">
        <v>1739</v>
      </c>
    </row>
    <row r="470" spans="3:7" ht="39.75" thickTop="1" thickBot="1">
      <c r="C470" s="681" t="s">
        <v>1657</v>
      </c>
      <c r="D470" s="690">
        <v>0.96888866435697851</v>
      </c>
      <c r="E470" s="231" t="s">
        <v>1737</v>
      </c>
      <c r="F470" s="685" t="s">
        <v>1738</v>
      </c>
      <c r="G470" s="685" t="s">
        <v>1739</v>
      </c>
    </row>
    <row r="471" spans="3:7" ht="39.75" thickTop="1" thickBot="1">
      <c r="C471" s="681" t="s">
        <v>1658</v>
      </c>
      <c r="D471" s="690">
        <v>1.4118354858398365</v>
      </c>
      <c r="E471" s="231" t="s">
        <v>1737</v>
      </c>
      <c r="F471" s="685" t="s">
        <v>1738</v>
      </c>
      <c r="G471" s="685" t="s">
        <v>1739</v>
      </c>
    </row>
    <row r="472" spans="3:7" ht="39.75" thickTop="1" thickBot="1">
      <c r="C472" s="681" t="s">
        <v>1659</v>
      </c>
      <c r="D472" s="690">
        <v>2.0581753170625903</v>
      </c>
      <c r="E472" s="231" t="s">
        <v>1737</v>
      </c>
      <c r="F472" s="685" t="s">
        <v>1738</v>
      </c>
      <c r="G472" s="685" t="s">
        <v>1739</v>
      </c>
    </row>
    <row r="473" spans="3:7" ht="39.75" thickTop="1" thickBot="1">
      <c r="C473" s="681" t="s">
        <v>1660</v>
      </c>
      <c r="D473" s="690">
        <v>2.5884895805758603</v>
      </c>
      <c r="E473" s="231" t="s">
        <v>1737</v>
      </c>
      <c r="F473" s="685" t="s">
        <v>1738</v>
      </c>
      <c r="G473" s="685" t="s">
        <v>1739</v>
      </c>
    </row>
    <row r="474" spans="3:7" ht="39.75" thickTop="1" thickBot="1">
      <c r="C474" s="681" t="s">
        <v>1661</v>
      </c>
      <c r="D474" s="690">
        <v>3.3101874190263789</v>
      </c>
      <c r="E474" s="231" t="s">
        <v>1737</v>
      </c>
      <c r="F474" s="685" t="s">
        <v>1738</v>
      </c>
      <c r="G474" s="685" t="s">
        <v>1739</v>
      </c>
    </row>
    <row r="475" spans="3:7" ht="39.75" thickTop="1" thickBot="1">
      <c r="C475" s="681" t="s">
        <v>1662</v>
      </c>
      <c r="D475" s="690">
        <v>3.7252551193313321</v>
      </c>
      <c r="E475" s="231" t="s">
        <v>1737</v>
      </c>
      <c r="F475" s="685" t="s">
        <v>1738</v>
      </c>
      <c r="G475" s="685" t="s">
        <v>1739</v>
      </c>
    </row>
    <row r="476" spans="3:7" ht="39.75" thickTop="1" thickBot="1">
      <c r="C476" s="681" t="s">
        <v>1663</v>
      </c>
      <c r="D476" s="690">
        <v>4.4736825073540922</v>
      </c>
      <c r="E476" s="231" t="s">
        <v>1737</v>
      </c>
      <c r="F476" s="685" t="s">
        <v>1738</v>
      </c>
      <c r="G476" s="685" t="s">
        <v>1739</v>
      </c>
    </row>
    <row r="477" spans="3:7" ht="39.75" thickTop="1" thickBot="1">
      <c r="C477" s="681" t="s">
        <v>1664</v>
      </c>
      <c r="D477" s="690">
        <v>6.9182363598742533</v>
      </c>
      <c r="E477" s="231" t="s">
        <v>1737</v>
      </c>
      <c r="F477" s="685" t="s">
        <v>1738</v>
      </c>
      <c r="G477" s="685" t="s">
        <v>1739</v>
      </c>
    </row>
    <row r="478" spans="3:7" ht="39.75" thickTop="1" thickBot="1">
      <c r="C478" s="681" t="s">
        <v>1665</v>
      </c>
      <c r="D478" s="690">
        <v>8.7558928929658517</v>
      </c>
      <c r="E478" s="231" t="s">
        <v>1737</v>
      </c>
      <c r="F478" s="685" t="s">
        <v>1738</v>
      </c>
      <c r="G478" s="685" t="s">
        <v>1739</v>
      </c>
    </row>
    <row r="479" spans="3:7" ht="39.75" thickTop="1" thickBot="1">
      <c r="C479" s="681" t="s">
        <v>1666</v>
      </c>
      <c r="D479" s="690">
        <v>9.3219304133191994</v>
      </c>
      <c r="E479" s="231" t="s">
        <v>1737</v>
      </c>
      <c r="F479" s="685" t="s">
        <v>1738</v>
      </c>
      <c r="G479" s="685" t="s">
        <v>1739</v>
      </c>
    </row>
    <row r="480" spans="3:7" ht="39.75" thickTop="1" thickBot="1">
      <c r="C480" s="681" t="s">
        <v>1667</v>
      </c>
      <c r="D480" s="690">
        <v>9.6226378460069153</v>
      </c>
      <c r="E480" s="231" t="s">
        <v>1737</v>
      </c>
      <c r="F480" s="685" t="s">
        <v>1738</v>
      </c>
      <c r="G480" s="685" t="s">
        <v>1739</v>
      </c>
    </row>
    <row r="481" spans="3:7" ht="39.75" thickTop="1" thickBot="1">
      <c r="C481" s="681" t="s">
        <v>1668</v>
      </c>
      <c r="D481" s="690" t="s">
        <v>1489</v>
      </c>
      <c r="E481" s="231" t="s">
        <v>1737</v>
      </c>
      <c r="F481" s="685" t="s">
        <v>1738</v>
      </c>
      <c r="G481" s="685" t="s">
        <v>1739</v>
      </c>
    </row>
    <row r="482" spans="3:7" ht="39.75" thickTop="1" thickBot="1">
      <c r="C482" s="681" t="s">
        <v>1669</v>
      </c>
      <c r="D482" s="690">
        <v>0.39122153095927725</v>
      </c>
      <c r="E482" s="231" t="s">
        <v>1737</v>
      </c>
      <c r="F482" s="685" t="s">
        <v>1738</v>
      </c>
      <c r="G482" s="685" t="s">
        <v>1739</v>
      </c>
    </row>
    <row r="483" spans="3:7" ht="39.75" thickTop="1" thickBot="1">
      <c r="C483" s="681" t="s">
        <v>1670</v>
      </c>
      <c r="D483" s="690">
        <v>0.55594638610002567</v>
      </c>
      <c r="E483" s="231" t="s">
        <v>1737</v>
      </c>
      <c r="F483" s="685" t="s">
        <v>1738</v>
      </c>
      <c r="G483" s="685" t="s">
        <v>1739</v>
      </c>
    </row>
    <row r="484" spans="3:7" ht="39.75" thickTop="1" thickBot="1">
      <c r="C484" s="681" t="s">
        <v>1671</v>
      </c>
      <c r="D484" s="690">
        <v>0.84289962356575121</v>
      </c>
      <c r="E484" s="231" t="s">
        <v>1737</v>
      </c>
      <c r="F484" s="685" t="s">
        <v>1738</v>
      </c>
      <c r="G484" s="685" t="s">
        <v>1739</v>
      </c>
    </row>
    <row r="485" spans="3:7" ht="39.75" thickTop="1" thickBot="1">
      <c r="C485" s="681" t="s">
        <v>1672</v>
      </c>
      <c r="D485" s="690">
        <v>1.2128441940693486</v>
      </c>
      <c r="E485" s="231" t="s">
        <v>1737</v>
      </c>
      <c r="F485" s="685" t="s">
        <v>1738</v>
      </c>
      <c r="G485" s="685" t="s">
        <v>1739</v>
      </c>
    </row>
    <row r="486" spans="3:7" ht="39.75" thickTop="1" thickBot="1">
      <c r="C486" s="681" t="s">
        <v>1673</v>
      </c>
      <c r="D486" s="690">
        <v>1.5860772900974034</v>
      </c>
      <c r="E486" s="231" t="s">
        <v>1737</v>
      </c>
      <c r="F486" s="685" t="s">
        <v>1738</v>
      </c>
      <c r="G486" s="685" t="s">
        <v>1739</v>
      </c>
    </row>
    <row r="487" spans="3:7" ht="39.75" thickTop="1" thickBot="1">
      <c r="C487" s="681" t="s">
        <v>1674</v>
      </c>
      <c r="D487" s="690">
        <v>1.8577058977715679</v>
      </c>
      <c r="E487" s="231" t="s">
        <v>1737</v>
      </c>
      <c r="F487" s="685" t="s">
        <v>1738</v>
      </c>
      <c r="G487" s="685" t="s">
        <v>1739</v>
      </c>
    </row>
    <row r="488" spans="3:7" ht="39.75" thickTop="1" thickBot="1">
      <c r="C488" s="681" t="s">
        <v>1675</v>
      </c>
      <c r="D488" s="690">
        <v>3.5846180343869731</v>
      </c>
      <c r="E488" s="231" t="s">
        <v>1737</v>
      </c>
      <c r="F488" s="685" t="s">
        <v>1738</v>
      </c>
      <c r="G488" s="685" t="s">
        <v>1739</v>
      </c>
    </row>
    <row r="489" spans="3:7" ht="39.75" thickTop="1" thickBot="1">
      <c r="C489" s="681" t="s">
        <v>1676</v>
      </c>
      <c r="D489" s="690">
        <v>3.6360114288426817</v>
      </c>
      <c r="E489" s="231" t="s">
        <v>1737</v>
      </c>
      <c r="F489" s="685" t="s">
        <v>1738</v>
      </c>
      <c r="G489" s="685" t="s">
        <v>1739</v>
      </c>
    </row>
    <row r="490" spans="3:7" ht="39.75" thickTop="1" thickBot="1">
      <c r="C490" s="681" t="s">
        <v>1677</v>
      </c>
      <c r="D490" s="690">
        <v>3.1602768504780614</v>
      </c>
      <c r="E490" s="231" t="s">
        <v>1737</v>
      </c>
      <c r="F490" s="685" t="s">
        <v>1738</v>
      </c>
      <c r="G490" s="685" t="s">
        <v>1739</v>
      </c>
    </row>
    <row r="491" spans="3:7" ht="39.75" thickTop="1" thickBot="1">
      <c r="C491" s="681" t="s">
        <v>1678</v>
      </c>
      <c r="D491" s="690">
        <v>4.2003043672490605</v>
      </c>
      <c r="E491" s="231" t="s">
        <v>1737</v>
      </c>
      <c r="F491" s="685" t="s">
        <v>1738</v>
      </c>
      <c r="G491" s="685" t="s">
        <v>1739</v>
      </c>
    </row>
    <row r="492" spans="3:7" ht="39.75" thickTop="1" thickBot="1">
      <c r="C492" s="681" t="s">
        <v>1679</v>
      </c>
      <c r="D492" s="690">
        <v>5.3160102147995936</v>
      </c>
      <c r="E492" s="231" t="s">
        <v>1737</v>
      </c>
      <c r="F492" s="685" t="s">
        <v>1738</v>
      </c>
      <c r="G492" s="685" t="s">
        <v>1739</v>
      </c>
    </row>
    <row r="493" spans="3:7" ht="39.75" thickTop="1" thickBot="1">
      <c r="C493" s="681" t="s">
        <v>1680</v>
      </c>
      <c r="D493" s="690">
        <v>5.6596714812108804</v>
      </c>
      <c r="E493" s="231" t="s">
        <v>1737</v>
      </c>
      <c r="F493" s="685" t="s">
        <v>1738</v>
      </c>
      <c r="G493" s="685" t="s">
        <v>1739</v>
      </c>
    </row>
    <row r="494" spans="3:7" ht="39.75" thickTop="1" thickBot="1">
      <c r="C494" s="681" t="s">
        <v>1681</v>
      </c>
      <c r="D494" s="690">
        <v>6.5244769706998085</v>
      </c>
      <c r="E494" s="231" t="s">
        <v>1737</v>
      </c>
      <c r="F494" s="685" t="s">
        <v>1738</v>
      </c>
      <c r="G494" s="685" t="s">
        <v>1739</v>
      </c>
    </row>
    <row r="495" spans="3:7" ht="39.75" thickTop="1" thickBot="1">
      <c r="C495" s="681" t="s">
        <v>1682</v>
      </c>
      <c r="D495" s="690">
        <v>7.2067124124077404</v>
      </c>
      <c r="E495" s="231" t="s">
        <v>1737</v>
      </c>
      <c r="F495" s="685" t="s">
        <v>1738</v>
      </c>
      <c r="G495" s="685" t="s">
        <v>1739</v>
      </c>
    </row>
    <row r="496" spans="3:7" ht="39.75" thickTop="1" thickBot="1">
      <c r="C496" s="681" t="s">
        <v>1683</v>
      </c>
      <c r="D496" s="690">
        <v>0.34849553280133155</v>
      </c>
      <c r="E496" s="231" t="s">
        <v>1737</v>
      </c>
      <c r="F496" s="685" t="s">
        <v>1738</v>
      </c>
      <c r="G496" s="685" t="s">
        <v>1739</v>
      </c>
    </row>
    <row r="497" spans="2:7" ht="39.75" thickTop="1" thickBot="1">
      <c r="C497" s="681" t="s">
        <v>1684</v>
      </c>
      <c r="D497" s="690">
        <v>0.52274329920199736</v>
      </c>
      <c r="E497" s="231" t="s">
        <v>1737</v>
      </c>
      <c r="F497" s="685" t="s">
        <v>1738</v>
      </c>
      <c r="G497" s="685" t="s">
        <v>1739</v>
      </c>
    </row>
    <row r="498" spans="2:7" ht="39.75" thickTop="1" thickBot="1">
      <c r="C498" s="681" t="s">
        <v>1685</v>
      </c>
      <c r="D498" s="690">
        <v>0.81315624320310698</v>
      </c>
      <c r="E498" s="231" t="s">
        <v>1737</v>
      </c>
      <c r="F498" s="685" t="s">
        <v>1738</v>
      </c>
      <c r="G498" s="685" t="s">
        <v>1739</v>
      </c>
    </row>
    <row r="499" spans="2:7" ht="39.75" thickTop="1" thickBot="1">
      <c r="C499" s="681" t="s">
        <v>1686</v>
      </c>
      <c r="D499" s="690">
        <v>1.1616517760044385</v>
      </c>
      <c r="E499" s="231" t="s">
        <v>1737</v>
      </c>
      <c r="F499" s="685" t="s">
        <v>1738</v>
      </c>
      <c r="G499" s="685" t="s">
        <v>1739</v>
      </c>
    </row>
    <row r="500" spans="2:7" ht="39.75" thickTop="1" thickBot="1">
      <c r="C500" s="681" t="s">
        <v>1687</v>
      </c>
      <c r="D500" s="690">
        <v>1.5682298976059919</v>
      </c>
      <c r="E500" s="231" t="s">
        <v>1737</v>
      </c>
      <c r="F500" s="685" t="s">
        <v>1738</v>
      </c>
      <c r="G500" s="685" t="s">
        <v>1739</v>
      </c>
    </row>
    <row r="501" spans="2:7" ht="39.75" thickTop="1" thickBot="1">
      <c r="C501" s="681" t="s">
        <v>1688</v>
      </c>
      <c r="D501" s="690">
        <v>1.9167254304073236</v>
      </c>
      <c r="E501" s="231" t="s">
        <v>1737</v>
      </c>
      <c r="F501" s="685" t="s">
        <v>1738</v>
      </c>
      <c r="G501" s="685" t="s">
        <v>1739</v>
      </c>
    </row>
    <row r="502" spans="2:7" ht="39.75" thickTop="1" thickBot="1">
      <c r="C502" s="681" t="s">
        <v>1689</v>
      </c>
      <c r="D502" s="690">
        <v>2.4394687296093212</v>
      </c>
      <c r="E502" s="231" t="s">
        <v>1737</v>
      </c>
      <c r="F502" s="685" t="s">
        <v>1738</v>
      </c>
      <c r="G502" s="685" t="s">
        <v>1739</v>
      </c>
    </row>
    <row r="503" spans="2:7" ht="39.75" thickTop="1" thickBot="1">
      <c r="C503" s="681" t="s">
        <v>1690</v>
      </c>
      <c r="D503" s="690">
        <v>2.8613317430004068</v>
      </c>
      <c r="E503" s="231" t="s">
        <v>1737</v>
      </c>
      <c r="F503" s="685" t="s">
        <v>1738</v>
      </c>
      <c r="G503" s="685" t="s">
        <v>1739</v>
      </c>
    </row>
    <row r="504" spans="2:7" ht="39.75" thickTop="1" thickBot="1">
      <c r="C504" s="681" t="s">
        <v>1691</v>
      </c>
      <c r="D504" s="690">
        <v>3.016218646467665</v>
      </c>
      <c r="E504" s="231" t="s">
        <v>1737</v>
      </c>
      <c r="F504" s="685" t="s">
        <v>1738</v>
      </c>
      <c r="G504" s="685" t="s">
        <v>1739</v>
      </c>
    </row>
    <row r="505" spans="2:7" ht="39.75" thickTop="1" thickBot="1">
      <c r="C505" s="681" t="s">
        <v>1692</v>
      </c>
      <c r="D505" s="690">
        <v>4.0088375015055133</v>
      </c>
      <c r="E505" s="231" t="s">
        <v>1737</v>
      </c>
      <c r="F505" s="685" t="s">
        <v>1738</v>
      </c>
      <c r="G505" s="685" t="s">
        <v>1739</v>
      </c>
    </row>
    <row r="506" spans="2:7" ht="39.75" thickTop="1" thickBot="1">
      <c r="C506" s="681" t="s">
        <v>1693</v>
      </c>
      <c r="D506" s="690">
        <v>5.0736849628429148</v>
      </c>
      <c r="E506" s="231" t="s">
        <v>1737</v>
      </c>
      <c r="F506" s="685" t="s">
        <v>1738</v>
      </c>
      <c r="G506" s="685" t="s">
        <v>1739</v>
      </c>
    </row>
    <row r="507" spans="2:7" ht="39.75" thickTop="1" thickBot="1">
      <c r="C507" s="681" t="s">
        <v>1694</v>
      </c>
      <c r="D507" s="690">
        <v>5.401680758420639</v>
      </c>
      <c r="E507" s="231" t="s">
        <v>1737</v>
      </c>
      <c r="F507" s="685" t="s">
        <v>1738</v>
      </c>
      <c r="G507" s="685" t="s">
        <v>1739</v>
      </c>
    </row>
    <row r="508" spans="2:7" ht="39.75" thickTop="1" thickBot="1">
      <c r="C508" s="681" t="s">
        <v>1695</v>
      </c>
      <c r="D508" s="690">
        <v>6.4563382918983523</v>
      </c>
      <c r="E508" s="231" t="s">
        <v>1737</v>
      </c>
      <c r="F508" s="685" t="s">
        <v>1738</v>
      </c>
      <c r="G508" s="685" t="s">
        <v>1739</v>
      </c>
    </row>
    <row r="509" spans="2:7" ht="39.75" thickTop="1" thickBot="1">
      <c r="C509" s="681" t="s">
        <v>1696</v>
      </c>
      <c r="D509" s="690">
        <v>7.3367480589754006</v>
      </c>
      <c r="E509" s="231" t="s">
        <v>1737</v>
      </c>
      <c r="F509" s="685" t="s">
        <v>1738</v>
      </c>
      <c r="G509" s="685" t="s">
        <v>1739</v>
      </c>
    </row>
    <row r="510" spans="2:7" ht="16.5" thickTop="1" thickBot="1">
      <c r="B510" s="15" t="s">
        <v>1199</v>
      </c>
      <c r="C510" s="678" t="s">
        <v>1740</v>
      </c>
      <c r="D510" s="679"/>
      <c r="E510" s="679"/>
      <c r="F510" s="680"/>
      <c r="G510" s="680"/>
    </row>
    <row r="511" spans="2:7" ht="32.450000000000003" customHeight="1" thickBot="1">
      <c r="C511" s="681" t="s">
        <v>515</v>
      </c>
      <c r="D511" s="682">
        <v>17746.948711216752</v>
      </c>
      <c r="E511" s="683" t="s">
        <v>299</v>
      </c>
      <c r="F511" s="684" t="s">
        <v>1741</v>
      </c>
      <c r="G511" s="685" t="s">
        <v>1742</v>
      </c>
    </row>
    <row r="512" spans="2:7" ht="32.450000000000003" customHeight="1" thickTop="1" thickBot="1">
      <c r="C512" s="681" t="s">
        <v>516</v>
      </c>
      <c r="D512" s="682">
        <v>20218.970183654852</v>
      </c>
      <c r="E512" s="683" t="s">
        <v>299</v>
      </c>
      <c r="F512" s="684" t="s">
        <v>1743</v>
      </c>
      <c r="G512" s="685" t="s">
        <v>1742</v>
      </c>
    </row>
    <row r="513" spans="2:7" ht="32.450000000000003" customHeight="1" thickTop="1" thickBot="1">
      <c r="C513" s="681" t="s">
        <v>517</v>
      </c>
      <c r="D513" s="682">
        <v>22216.62782359769</v>
      </c>
      <c r="E513" s="683" t="s">
        <v>299</v>
      </c>
      <c r="F513" s="684" t="s">
        <v>1744</v>
      </c>
      <c r="G513" s="685" t="s">
        <v>1742</v>
      </c>
    </row>
    <row r="514" spans="2:7" ht="32.450000000000003" customHeight="1" thickTop="1" thickBot="1">
      <c r="C514" s="681" t="s">
        <v>518</v>
      </c>
      <c r="D514" s="682">
        <v>23495.197934061274</v>
      </c>
      <c r="E514" s="683" t="s">
        <v>299</v>
      </c>
      <c r="F514" s="684" t="s">
        <v>1745</v>
      </c>
      <c r="G514" s="685" t="s">
        <v>1742</v>
      </c>
    </row>
    <row r="515" spans="2:7" ht="32.450000000000003" customHeight="1" thickTop="1" thickBot="1">
      <c r="C515" s="681" t="s">
        <v>519</v>
      </c>
      <c r="D515" s="687">
        <v>30818.115265667206</v>
      </c>
      <c r="E515" s="683" t="s">
        <v>299</v>
      </c>
      <c r="F515" s="684" t="s">
        <v>1746</v>
      </c>
      <c r="G515" s="685" t="s">
        <v>1747</v>
      </c>
    </row>
    <row r="516" spans="2:7" ht="32.450000000000003" customHeight="1" thickTop="1" thickBot="1">
      <c r="C516" s="681" t="s">
        <v>520</v>
      </c>
      <c r="D516" s="687">
        <v>4174</v>
      </c>
      <c r="E516" s="231" t="s">
        <v>299</v>
      </c>
      <c r="F516" s="684" t="s">
        <v>1748</v>
      </c>
      <c r="G516" s="685" t="s">
        <v>1749</v>
      </c>
    </row>
    <row r="517" spans="2:7" ht="32.450000000000003" customHeight="1" thickTop="1" thickBot="1">
      <c r="C517" s="681" t="s">
        <v>521</v>
      </c>
      <c r="D517" s="687">
        <v>3930.220784661823</v>
      </c>
      <c r="E517" s="231" t="s">
        <v>299</v>
      </c>
      <c r="F517" s="684" t="s">
        <v>1750</v>
      </c>
      <c r="G517" s="684" t="s">
        <v>1751</v>
      </c>
    </row>
    <row r="518" spans="2:7" ht="16.5" thickTop="1" thickBot="1">
      <c r="B518" s="15" t="s">
        <v>1199</v>
      </c>
      <c r="C518" s="678" t="s">
        <v>1752</v>
      </c>
      <c r="D518" s="679"/>
      <c r="E518" s="679"/>
      <c r="F518" s="680"/>
      <c r="G518" s="680"/>
    </row>
    <row r="519" spans="2:7" ht="26.25" thickBot="1">
      <c r="C519" s="681" t="s">
        <v>1053</v>
      </c>
      <c r="D519" s="25">
        <v>2.0944686887236443</v>
      </c>
      <c r="E519" s="683" t="s">
        <v>219</v>
      </c>
      <c r="F519" s="693" t="s">
        <v>1753</v>
      </c>
      <c r="G519" s="693" t="s">
        <v>1754</v>
      </c>
    </row>
    <row r="520" spans="2:7" ht="16.5" thickTop="1" thickBot="1">
      <c r="B520" s="15" t="s">
        <v>1199</v>
      </c>
      <c r="C520" s="678" t="s">
        <v>1755</v>
      </c>
      <c r="D520" s="679"/>
      <c r="E520" s="679"/>
      <c r="F520" s="680"/>
      <c r="G520" s="680"/>
    </row>
    <row r="521" spans="2:7" ht="39" thickBot="1">
      <c r="C521" s="681" t="s">
        <v>1121</v>
      </c>
      <c r="D521" s="687">
        <v>313.55142410620272</v>
      </c>
      <c r="E521" s="683" t="s">
        <v>411</v>
      </c>
      <c r="F521" s="693" t="s">
        <v>1756</v>
      </c>
      <c r="G521" s="684" t="s">
        <v>1757</v>
      </c>
    </row>
    <row r="522" spans="2:7" ht="39.75" thickTop="1" thickBot="1">
      <c r="C522" s="681" t="s">
        <v>1758</v>
      </c>
      <c r="D522" s="687">
        <v>3700.5079794020248</v>
      </c>
      <c r="E522" s="683" t="s">
        <v>411</v>
      </c>
      <c r="F522" s="693" t="s">
        <v>1759</v>
      </c>
      <c r="G522" s="684" t="s">
        <v>1757</v>
      </c>
    </row>
    <row r="523" spans="2:7" ht="39.75" thickTop="1" thickBot="1">
      <c r="C523" s="681" t="s">
        <v>1760</v>
      </c>
      <c r="D523" s="687">
        <v>4547.916393602025</v>
      </c>
      <c r="E523" s="683" t="s">
        <v>411</v>
      </c>
      <c r="F523" s="693" t="s">
        <v>1761</v>
      </c>
      <c r="G523" s="684" t="s">
        <v>1757</v>
      </c>
    </row>
    <row r="524" spans="2:7" ht="39.75" thickTop="1" thickBot="1">
      <c r="C524" s="681" t="s">
        <v>1120</v>
      </c>
      <c r="D524" s="687">
        <v>2044.2291936020247</v>
      </c>
      <c r="E524" s="683" t="s">
        <v>411</v>
      </c>
      <c r="F524" s="693" t="s">
        <v>1762</v>
      </c>
      <c r="G524" s="684" t="s">
        <v>1757</v>
      </c>
    </row>
    <row r="525" spans="2:7" ht="39.75" thickTop="1" thickBot="1">
      <c r="C525" s="681" t="s">
        <v>1121</v>
      </c>
      <c r="D525" s="687">
        <v>522.58570684367123</v>
      </c>
      <c r="E525" s="683" t="s">
        <v>299</v>
      </c>
      <c r="F525" s="693" t="s">
        <v>1756</v>
      </c>
      <c r="G525" s="684" t="s">
        <v>1763</v>
      </c>
    </row>
    <row r="526" spans="2:7" ht="39.75" thickTop="1" thickBot="1">
      <c r="C526" s="681" t="s">
        <v>1758</v>
      </c>
      <c r="D526" s="687">
        <v>6167.5132990033753</v>
      </c>
      <c r="E526" s="683" t="s">
        <v>299</v>
      </c>
      <c r="F526" s="693" t="s">
        <v>1759</v>
      </c>
      <c r="G526" s="684" t="s">
        <v>1757</v>
      </c>
    </row>
    <row r="527" spans="2:7" ht="39.75" thickTop="1" thickBot="1">
      <c r="C527" s="681" t="s">
        <v>1760</v>
      </c>
      <c r="D527" s="687">
        <v>7579.860656003375</v>
      </c>
      <c r="E527" s="683" t="s">
        <v>299</v>
      </c>
      <c r="F527" s="693" t="s">
        <v>1761</v>
      </c>
      <c r="G527" s="684" t="s">
        <v>1757</v>
      </c>
    </row>
    <row r="528" spans="2:7" ht="39.75" thickTop="1" thickBot="1">
      <c r="C528" s="681" t="s">
        <v>1120</v>
      </c>
      <c r="D528" s="687">
        <v>3407.0486560033746</v>
      </c>
      <c r="E528" s="683" t="s">
        <v>299</v>
      </c>
      <c r="F528" s="693" t="s">
        <v>1762</v>
      </c>
      <c r="G528" s="684" t="s">
        <v>1757</v>
      </c>
    </row>
    <row r="529" spans="3:7" ht="30.6" customHeight="1" thickTop="1" thickBot="1">
      <c r="C529" s="681" t="s">
        <v>1124</v>
      </c>
      <c r="D529" s="687">
        <v>1230.1933991600233</v>
      </c>
      <c r="E529" s="683" t="s">
        <v>299</v>
      </c>
      <c r="F529" s="693" t="s">
        <v>1764</v>
      </c>
      <c r="G529" s="684" t="s">
        <v>1765</v>
      </c>
    </row>
    <row r="530" spans="3:7" ht="31.5" customHeight="1" thickTop="1" thickBot="1">
      <c r="C530" s="681" t="s">
        <v>1125</v>
      </c>
      <c r="D530" s="687">
        <v>15299.859706492934</v>
      </c>
      <c r="E530" s="683" t="s">
        <v>299</v>
      </c>
      <c r="F530" s="693" t="s">
        <v>1766</v>
      </c>
      <c r="G530" s="684" t="s">
        <v>1765</v>
      </c>
    </row>
    <row r="531" spans="3:7" ht="31.5" customHeight="1" thickTop="1" thickBot="1">
      <c r="C531" s="681" t="s">
        <v>1126</v>
      </c>
      <c r="D531" s="687">
        <v>18830.728098992935</v>
      </c>
      <c r="E531" s="683" t="s">
        <v>299</v>
      </c>
      <c r="F531" s="693" t="s">
        <v>1767</v>
      </c>
      <c r="G531" s="684" t="s">
        <v>1765</v>
      </c>
    </row>
    <row r="532" spans="3:7" ht="31.5" customHeight="1" thickTop="1" thickBot="1">
      <c r="C532" s="681" t="s">
        <v>1127</v>
      </c>
      <c r="D532" s="687">
        <v>8398.6980989929361</v>
      </c>
      <c r="E532" s="683" t="s">
        <v>299</v>
      </c>
      <c r="F532" s="693" t="s">
        <v>1768</v>
      </c>
      <c r="G532" s="684" t="s">
        <v>1765</v>
      </c>
    </row>
    <row r="533" spans="3:7" ht="52.5" thickTop="1" thickBot="1">
      <c r="C533" s="681" t="s">
        <v>1130</v>
      </c>
      <c r="D533" s="687">
        <v>6195.4040364428374</v>
      </c>
      <c r="E533" s="231" t="s">
        <v>1372</v>
      </c>
      <c r="F533" s="694" t="s">
        <v>1400</v>
      </c>
      <c r="G533" s="684" t="s">
        <v>1769</v>
      </c>
    </row>
    <row r="534" spans="3:7" ht="52.5" thickTop="1" thickBot="1">
      <c r="C534" s="681" t="s">
        <v>1401</v>
      </c>
      <c r="D534" s="687">
        <v>21606.35606248823</v>
      </c>
      <c r="E534" s="231" t="s">
        <v>1372</v>
      </c>
      <c r="F534" s="695" t="s">
        <v>1400</v>
      </c>
      <c r="G534" s="684" t="s">
        <v>1769</v>
      </c>
    </row>
    <row r="535" spans="3:7" ht="52.5" thickTop="1" thickBot="1">
      <c r="C535" s="681" t="s">
        <v>1408</v>
      </c>
      <c r="D535" s="687">
        <v>6302.0481256141366</v>
      </c>
      <c r="E535" s="231" t="s">
        <v>1372</v>
      </c>
      <c r="F535" s="694" t="s">
        <v>1400</v>
      </c>
      <c r="G535" s="684" t="s">
        <v>1769</v>
      </c>
    </row>
    <row r="536" spans="3:7" ht="52.5" thickTop="1" thickBot="1">
      <c r="C536" s="681" t="s">
        <v>1409</v>
      </c>
      <c r="D536" s="687">
        <v>21964.301376646312</v>
      </c>
      <c r="E536" s="231" t="s">
        <v>1372</v>
      </c>
      <c r="F536" s="695" t="s">
        <v>1400</v>
      </c>
      <c r="G536" s="684" t="s">
        <v>1769</v>
      </c>
    </row>
    <row r="537" spans="3:7" ht="52.5" thickTop="1" thickBot="1">
      <c r="C537" s="681" t="s">
        <v>1417</v>
      </c>
      <c r="D537" s="687">
        <v>5582.7442574874622</v>
      </c>
      <c r="E537" s="231" t="s">
        <v>1372</v>
      </c>
      <c r="F537" s="695" t="s">
        <v>1400</v>
      </c>
      <c r="G537" s="684" t="s">
        <v>1769</v>
      </c>
    </row>
    <row r="538" spans="3:7" ht="52.5" thickTop="1" thickBot="1">
      <c r="C538" s="681" t="s">
        <v>1418</v>
      </c>
      <c r="D538" s="687">
        <v>19549.995520105524</v>
      </c>
      <c r="E538" s="231" t="s">
        <v>1372</v>
      </c>
      <c r="F538" s="695" t="s">
        <v>1400</v>
      </c>
      <c r="G538" s="684" t="s">
        <v>1769</v>
      </c>
    </row>
    <row r="539" spans="3:7" ht="39.75" thickTop="1" thickBot="1">
      <c r="C539" s="681" t="s">
        <v>1426</v>
      </c>
      <c r="D539" s="687">
        <v>3036.4774338064499</v>
      </c>
      <c r="E539" s="231" t="s">
        <v>1372</v>
      </c>
      <c r="F539" s="695" t="s">
        <v>1427</v>
      </c>
      <c r="G539" s="684" t="s">
        <v>1769</v>
      </c>
    </row>
    <row r="540" spans="3:7" ht="39.75" thickTop="1" thickBot="1">
      <c r="C540" s="681" t="s">
        <v>1428</v>
      </c>
      <c r="D540" s="687">
        <v>12924.062312392824</v>
      </c>
      <c r="E540" s="231" t="s">
        <v>1372</v>
      </c>
      <c r="F540" s="695" t="s">
        <v>1427</v>
      </c>
      <c r="G540" s="684" t="s">
        <v>1769</v>
      </c>
    </row>
    <row r="541" spans="3:7" ht="39.75" thickTop="1" thickBot="1">
      <c r="C541" s="681" t="s">
        <v>1436</v>
      </c>
      <c r="D541" s="687">
        <v>3143.121522977749</v>
      </c>
      <c r="E541" s="231" t="s">
        <v>1372</v>
      </c>
      <c r="F541" s="695" t="s">
        <v>1427</v>
      </c>
      <c r="G541" s="684" t="s">
        <v>1769</v>
      </c>
    </row>
    <row r="542" spans="3:7" ht="39.75" thickTop="1" thickBot="1">
      <c r="C542" s="681" t="s">
        <v>1437</v>
      </c>
      <c r="D542" s="687">
        <v>13282.007626550903</v>
      </c>
      <c r="E542" s="231" t="s">
        <v>1372</v>
      </c>
      <c r="F542" s="695" t="s">
        <v>1427</v>
      </c>
      <c r="G542" s="684" t="s">
        <v>1769</v>
      </c>
    </row>
    <row r="543" spans="3:7" ht="39.75" thickTop="1" thickBot="1">
      <c r="C543" s="681" t="s">
        <v>1444</v>
      </c>
      <c r="D543" s="687">
        <v>2423.8176548510742</v>
      </c>
      <c r="E543" s="231" t="s">
        <v>1372</v>
      </c>
      <c r="F543" s="695" t="s">
        <v>1427</v>
      </c>
      <c r="G543" s="684" t="s">
        <v>1769</v>
      </c>
    </row>
    <row r="544" spans="3:7" ht="39.75" thickTop="1" thickBot="1">
      <c r="C544" s="681" t="s">
        <v>1445</v>
      </c>
      <c r="D544" s="687">
        <v>10867.701770010117</v>
      </c>
      <c r="E544" s="231" t="s">
        <v>1372</v>
      </c>
      <c r="F544" s="695" t="s">
        <v>1427</v>
      </c>
      <c r="G544" s="684" t="s">
        <v>1769</v>
      </c>
    </row>
    <row r="545" spans="2:7" ht="16.5" thickTop="1" thickBot="1">
      <c r="C545" s="681" t="s">
        <v>1163</v>
      </c>
      <c r="D545" s="687">
        <v>7000</v>
      </c>
      <c r="E545" s="683" t="s">
        <v>1770</v>
      </c>
      <c r="F545" s="695" t="s">
        <v>1771</v>
      </c>
      <c r="G545" s="684" t="s">
        <v>1772</v>
      </c>
    </row>
    <row r="546" spans="2:7" ht="27" thickTop="1" thickBot="1">
      <c r="C546" s="681" t="s">
        <v>1773</v>
      </c>
      <c r="D546" s="687">
        <v>14000</v>
      </c>
      <c r="E546" s="683" t="s">
        <v>1770</v>
      </c>
      <c r="F546" s="695" t="s">
        <v>1774</v>
      </c>
      <c r="G546" s="684" t="s">
        <v>1772</v>
      </c>
    </row>
    <row r="547" spans="2:7" ht="16.5" thickTop="1" thickBot="1">
      <c r="C547" s="681" t="s">
        <v>1775</v>
      </c>
      <c r="D547" s="687">
        <v>13000</v>
      </c>
      <c r="E547" s="683" t="s">
        <v>1770</v>
      </c>
      <c r="F547" s="695" t="s">
        <v>1771</v>
      </c>
      <c r="G547" s="684" t="s">
        <v>1772</v>
      </c>
    </row>
    <row r="548" spans="2:7" ht="27" thickTop="1" thickBot="1">
      <c r="C548" s="681" t="s">
        <v>1776</v>
      </c>
      <c r="D548" s="687">
        <v>26000</v>
      </c>
      <c r="E548" s="683" t="s">
        <v>1770</v>
      </c>
      <c r="F548" s="695" t="s">
        <v>1774</v>
      </c>
      <c r="G548" s="684" t="s">
        <v>1772</v>
      </c>
    </row>
    <row r="549" spans="2:7" ht="16.5" thickTop="1" thickBot="1">
      <c r="C549" s="681" t="s">
        <v>1777</v>
      </c>
      <c r="D549" s="687">
        <v>25000</v>
      </c>
      <c r="E549" s="683" t="s">
        <v>1770</v>
      </c>
      <c r="F549" s="695" t="s">
        <v>1771</v>
      </c>
      <c r="G549" s="684" t="s">
        <v>1772</v>
      </c>
    </row>
    <row r="550" spans="2:7" ht="27" thickTop="1" thickBot="1">
      <c r="C550" s="681" t="s">
        <v>1778</v>
      </c>
      <c r="D550" s="687">
        <v>48000</v>
      </c>
      <c r="E550" s="683" t="s">
        <v>1770</v>
      </c>
      <c r="F550" s="695" t="s">
        <v>1774</v>
      </c>
      <c r="G550" s="684" t="s">
        <v>1772</v>
      </c>
    </row>
    <row r="551" spans="2:7" ht="16.5" thickTop="1" thickBot="1">
      <c r="C551" s="681" t="s">
        <v>1779</v>
      </c>
      <c r="D551" s="687">
        <v>31000</v>
      </c>
      <c r="E551" s="683" t="s">
        <v>1770</v>
      </c>
      <c r="F551" s="695" t="s">
        <v>1771</v>
      </c>
      <c r="G551" s="684" t="s">
        <v>1772</v>
      </c>
    </row>
    <row r="552" spans="2:7" ht="27" thickTop="1" thickBot="1">
      <c r="C552" s="681" t="s">
        <v>1780</v>
      </c>
      <c r="D552" s="687">
        <v>60000</v>
      </c>
      <c r="E552" s="683" t="s">
        <v>1770</v>
      </c>
      <c r="F552" s="695" t="s">
        <v>1774</v>
      </c>
      <c r="G552" s="684" t="s">
        <v>1772</v>
      </c>
    </row>
    <row r="553" spans="2:7" ht="16.5" thickTop="1" thickBot="1">
      <c r="B553" s="15" t="s">
        <v>1199</v>
      </c>
      <c r="C553" s="678" t="s">
        <v>1781</v>
      </c>
      <c r="D553" s="679"/>
      <c r="E553" s="679"/>
      <c r="F553" s="680"/>
      <c r="G553" s="680"/>
    </row>
    <row r="554" spans="2:7" ht="39" thickBot="1">
      <c r="C554" s="681" t="s">
        <v>410</v>
      </c>
      <c r="D554" s="682">
        <v>16995</v>
      </c>
      <c r="E554" s="683" t="s">
        <v>411</v>
      </c>
      <c r="F554" s="684" t="s">
        <v>1782</v>
      </c>
      <c r="G554" s="684" t="s">
        <v>1783</v>
      </c>
    </row>
    <row r="555" spans="2:7" ht="52.5" thickTop="1" thickBot="1">
      <c r="C555" s="681" t="s">
        <v>1784</v>
      </c>
      <c r="D555" s="682">
        <v>23000</v>
      </c>
      <c r="E555" s="683" t="s">
        <v>411</v>
      </c>
      <c r="F555" s="684" t="s">
        <v>1785</v>
      </c>
      <c r="G555" s="684" t="s">
        <v>1783</v>
      </c>
    </row>
    <row r="556" spans="2:7" ht="39.75" thickTop="1" thickBot="1">
      <c r="C556" s="681" t="s">
        <v>408</v>
      </c>
      <c r="D556" s="682">
        <v>224970</v>
      </c>
      <c r="E556" s="683" t="s">
        <v>411</v>
      </c>
      <c r="F556" s="685" t="s">
        <v>1786</v>
      </c>
      <c r="G556" s="684" t="s">
        <v>1783</v>
      </c>
    </row>
    <row r="557" spans="2:7" ht="39.75" thickTop="1" thickBot="1">
      <c r="C557" s="681" t="s">
        <v>409</v>
      </c>
      <c r="D557" s="682">
        <v>275</v>
      </c>
      <c r="E557" s="683" t="s">
        <v>411</v>
      </c>
      <c r="F557" s="684" t="s">
        <v>1787</v>
      </c>
      <c r="G557" s="684" t="s">
        <v>1783</v>
      </c>
    </row>
    <row r="558" spans="2:7" ht="39.75" thickTop="1" thickBot="1">
      <c r="B558" s="231" t="s">
        <v>1788</v>
      </c>
      <c r="C558" s="681" t="s">
        <v>424</v>
      </c>
      <c r="D558" s="682">
        <v>22000</v>
      </c>
      <c r="E558" s="683" t="s">
        <v>411</v>
      </c>
      <c r="F558" s="684" t="s">
        <v>1787</v>
      </c>
      <c r="G558" s="684" t="s">
        <v>1783</v>
      </c>
    </row>
    <row r="559" spans="2:7" ht="16.5" thickTop="1" thickBot="1">
      <c r="B559" s="15"/>
      <c r="C559" s="678" t="s">
        <v>1789</v>
      </c>
      <c r="D559" s="679"/>
      <c r="E559" s="679"/>
      <c r="F559" s="680"/>
      <c r="G559" s="680"/>
    </row>
    <row r="560" spans="2:7" ht="76.5">
      <c r="C560" s="681" t="s">
        <v>1790</v>
      </c>
      <c r="D560" s="696">
        <v>4689.5497895735261</v>
      </c>
      <c r="E560" s="683" t="s">
        <v>1791</v>
      </c>
      <c r="F560" s="684" t="s">
        <v>1792</v>
      </c>
      <c r="G560" s="684" t="s">
        <v>1793</v>
      </c>
    </row>
    <row r="561" spans="2:7" ht="15.75" thickBot="1">
      <c r="B561" s="15" t="s">
        <v>1199</v>
      </c>
      <c r="C561" s="678" t="s">
        <v>549</v>
      </c>
      <c r="D561" s="679"/>
      <c r="E561" s="679"/>
      <c r="F561" s="680"/>
      <c r="G561" s="680"/>
    </row>
    <row r="562" spans="2:7" ht="15.75" thickBot="1">
      <c r="C562" s="681" t="s">
        <v>1794</v>
      </c>
      <c r="D562" s="23">
        <v>3.594287446947432</v>
      </c>
      <c r="E562" s="683" t="s">
        <v>219</v>
      </c>
      <c r="F562" s="921" t="s">
        <v>1795</v>
      </c>
      <c r="G562" s="684" t="s">
        <v>1796</v>
      </c>
    </row>
    <row r="563" spans="2:7" ht="16.5" thickTop="1" thickBot="1">
      <c r="C563" s="681" t="s">
        <v>1797</v>
      </c>
      <c r="D563" s="23">
        <v>3.6305227410650791</v>
      </c>
      <c r="E563" s="683" t="s">
        <v>219</v>
      </c>
      <c r="F563" s="922"/>
      <c r="G563" s="684" t="s">
        <v>1796</v>
      </c>
    </row>
    <row r="564" spans="2:7" ht="16.5" thickTop="1" thickBot="1">
      <c r="C564" s="681" t="s">
        <v>1798</v>
      </c>
      <c r="D564" s="23">
        <v>4.1866452900846873</v>
      </c>
      <c r="E564" s="683" t="s">
        <v>219</v>
      </c>
      <c r="F564" s="922"/>
      <c r="G564" s="684" t="s">
        <v>1796</v>
      </c>
    </row>
    <row r="565" spans="2:7" ht="16.5" thickTop="1" thickBot="1">
      <c r="C565" s="681" t="s">
        <v>1799</v>
      </c>
      <c r="D565" s="23">
        <v>4.7427678391042951</v>
      </c>
      <c r="E565" s="683" t="s">
        <v>219</v>
      </c>
      <c r="F565" s="922"/>
      <c r="G565" s="684" t="s">
        <v>1796</v>
      </c>
    </row>
    <row r="566" spans="2:7" ht="16.5" thickTop="1" thickBot="1">
      <c r="C566" s="681" t="s">
        <v>1800</v>
      </c>
      <c r="D566" s="23">
        <v>4.7790031332219423</v>
      </c>
      <c r="E566" s="683" t="s">
        <v>219</v>
      </c>
      <c r="F566" s="922"/>
      <c r="G566" s="684" t="s">
        <v>1796</v>
      </c>
    </row>
    <row r="567" spans="2:7" ht="16.5" thickTop="1" thickBot="1">
      <c r="C567" s="681" t="s">
        <v>1801</v>
      </c>
      <c r="D567" s="23">
        <v>5.1763560743984129</v>
      </c>
      <c r="E567" s="683" t="s">
        <v>219</v>
      </c>
      <c r="F567" s="922"/>
      <c r="G567" s="684" t="s">
        <v>1796</v>
      </c>
    </row>
    <row r="568" spans="2:7" ht="16.5" thickTop="1" thickBot="1">
      <c r="C568" s="681" t="s">
        <v>1802</v>
      </c>
      <c r="D568" s="23">
        <v>5.5737090155748836</v>
      </c>
      <c r="E568" s="683" t="s">
        <v>219</v>
      </c>
      <c r="F568" s="922"/>
      <c r="G568" s="684" t="s">
        <v>1796</v>
      </c>
    </row>
    <row r="569" spans="2:7" ht="16.5" thickTop="1" thickBot="1">
      <c r="C569" s="681" t="s">
        <v>1803</v>
      </c>
      <c r="D569" s="23">
        <v>5.9710619567513543</v>
      </c>
      <c r="E569" s="683" t="s">
        <v>219</v>
      </c>
      <c r="F569" s="922"/>
      <c r="G569" s="684" t="s">
        <v>1796</v>
      </c>
    </row>
    <row r="570" spans="2:7" ht="16.5" thickTop="1" thickBot="1">
      <c r="C570" s="681" t="s">
        <v>1804</v>
      </c>
      <c r="D570" s="23">
        <v>6.7657678391042957</v>
      </c>
      <c r="E570" s="683" t="s">
        <v>219</v>
      </c>
      <c r="F570" s="922"/>
      <c r="G570" s="684" t="s">
        <v>1796</v>
      </c>
    </row>
    <row r="571" spans="2:7" ht="16.5" thickTop="1" thickBot="1">
      <c r="C571" s="681" t="s">
        <v>1805</v>
      </c>
      <c r="D571" s="23">
        <v>7.5604737214572371</v>
      </c>
      <c r="E571" s="683" t="s">
        <v>219</v>
      </c>
      <c r="F571" s="922"/>
      <c r="G571" s="684" t="s">
        <v>1796</v>
      </c>
    </row>
    <row r="572" spans="2:7" ht="16.5" thickTop="1" thickBot="1">
      <c r="C572" s="681" t="s">
        <v>1806</v>
      </c>
      <c r="D572" s="23">
        <v>7.9578266626337069</v>
      </c>
      <c r="E572" s="683" t="s">
        <v>219</v>
      </c>
      <c r="F572" s="923"/>
      <c r="G572" s="684" t="s">
        <v>1796</v>
      </c>
    </row>
    <row r="573" spans="2:7" ht="16.5" thickTop="1" thickBot="1">
      <c r="B573" s="15" t="s">
        <v>1199</v>
      </c>
      <c r="C573" s="678" t="s">
        <v>1172</v>
      </c>
      <c r="D573" s="679"/>
      <c r="E573" s="679"/>
      <c r="F573" s="680"/>
      <c r="G573" s="680"/>
    </row>
    <row r="574" spans="2:7" ht="90" thickBot="1">
      <c r="C574" s="681" t="s">
        <v>1807</v>
      </c>
      <c r="D574" s="687">
        <v>129067.67600000001</v>
      </c>
      <c r="E574" s="683" t="s">
        <v>1808</v>
      </c>
      <c r="F574" s="685" t="s">
        <v>1809</v>
      </c>
      <c r="G574" s="684" t="s">
        <v>1810</v>
      </c>
    </row>
    <row r="575" spans="2:7" ht="65.25" thickTop="1" thickBot="1">
      <c r="C575" s="681" t="s">
        <v>1811</v>
      </c>
      <c r="D575" s="687">
        <v>420699.89500000002</v>
      </c>
      <c r="E575" s="683" t="s">
        <v>1808</v>
      </c>
      <c r="F575" s="685" t="s">
        <v>1812</v>
      </c>
      <c r="G575" s="684" t="s">
        <v>1810</v>
      </c>
    </row>
    <row r="576" spans="2:7" ht="52.5" thickTop="1" thickBot="1">
      <c r="C576" s="681" t="s">
        <v>1813</v>
      </c>
      <c r="D576" s="687">
        <v>781299.80500000017</v>
      </c>
      <c r="E576" s="683" t="s">
        <v>1808</v>
      </c>
      <c r="F576" s="685" t="s">
        <v>1814</v>
      </c>
      <c r="G576" s="684" t="s">
        <v>1810</v>
      </c>
    </row>
    <row r="577" spans="2:7" ht="65.25" thickTop="1" thickBot="1">
      <c r="C577" s="681" t="s">
        <v>1815</v>
      </c>
      <c r="D577" s="687">
        <v>34562.955009999998</v>
      </c>
      <c r="E577" s="683" t="s">
        <v>1816</v>
      </c>
      <c r="F577" s="685" t="s">
        <v>1817</v>
      </c>
      <c r="G577" s="685" t="s">
        <v>1818</v>
      </c>
    </row>
    <row r="578" spans="2:7" ht="16.5" thickTop="1" thickBot="1">
      <c r="B578" s="15" t="s">
        <v>1199</v>
      </c>
      <c r="C578" s="678" t="s">
        <v>1819</v>
      </c>
      <c r="D578" s="679"/>
      <c r="E578" s="679"/>
      <c r="F578" s="680"/>
      <c r="G578" s="680"/>
    </row>
    <row r="579" spans="2:7" ht="15.75" thickBot="1">
      <c r="C579" s="681" t="s">
        <v>637</v>
      </c>
      <c r="D579" s="23">
        <v>213.09749999999997</v>
      </c>
      <c r="E579" s="683" t="s">
        <v>299</v>
      </c>
      <c r="F579" s="684" t="s">
        <v>1820</v>
      </c>
      <c r="G579" s="684" t="s">
        <v>1471</v>
      </c>
    </row>
    <row r="580" spans="2:7" ht="16.5" thickTop="1" thickBot="1">
      <c r="C580" s="681" t="s">
        <v>621</v>
      </c>
      <c r="D580" s="23">
        <v>280.88279999999992</v>
      </c>
      <c r="E580" s="683" t="s">
        <v>299</v>
      </c>
      <c r="F580" s="684" t="s">
        <v>1821</v>
      </c>
      <c r="G580" s="684" t="s">
        <v>1471</v>
      </c>
    </row>
    <row r="581" spans="2:7" ht="16.5" thickTop="1" thickBot="1">
      <c r="C581" s="681" t="s">
        <v>620</v>
      </c>
      <c r="D581" s="23">
        <v>359.20919999999995</v>
      </c>
      <c r="E581" s="683" t="s">
        <v>299</v>
      </c>
      <c r="F581" s="684" t="s">
        <v>1822</v>
      </c>
      <c r="G581" s="684" t="s">
        <v>1471</v>
      </c>
    </row>
    <row r="582" spans="2:7" ht="16.5" thickTop="1" thickBot="1">
      <c r="B582" s="15" t="s">
        <v>1199</v>
      </c>
      <c r="C582" s="678" t="s">
        <v>1823</v>
      </c>
      <c r="D582" s="679"/>
      <c r="E582" s="679"/>
      <c r="F582" s="680"/>
      <c r="G582" s="680"/>
    </row>
    <row r="583" spans="2:7" ht="15.75" thickBot="1">
      <c r="C583" s="681" t="s">
        <v>637</v>
      </c>
      <c r="D583" s="23">
        <v>205.9967956054017</v>
      </c>
      <c r="E583" s="683" t="s">
        <v>299</v>
      </c>
      <c r="F583" s="684" t="s">
        <v>1820</v>
      </c>
      <c r="G583" s="684" t="s">
        <v>1824</v>
      </c>
    </row>
    <row r="584" spans="2:7" ht="16.5" thickTop="1" thickBot="1">
      <c r="C584" s="681" t="s">
        <v>621</v>
      </c>
      <c r="D584" s="23">
        <v>241.70290684367134</v>
      </c>
      <c r="E584" s="683" t="s">
        <v>299</v>
      </c>
      <c r="F584" s="684" t="s">
        <v>1820</v>
      </c>
      <c r="G584" s="684" t="s">
        <v>1824</v>
      </c>
    </row>
    <row r="585" spans="2:7" ht="16.5" thickTop="1" thickBot="1">
      <c r="C585" s="681" t="s">
        <v>620</v>
      </c>
      <c r="D585" s="23">
        <v>247.05882352941177</v>
      </c>
      <c r="E585" s="683" t="s">
        <v>299</v>
      </c>
      <c r="F585" s="684" t="s">
        <v>1825</v>
      </c>
      <c r="G585" s="684" t="s">
        <v>1824</v>
      </c>
    </row>
    <row r="586" spans="2:7" ht="16.5" thickTop="1" thickBot="1">
      <c r="B586" s="15" t="s">
        <v>1199</v>
      </c>
      <c r="C586" s="678" t="s">
        <v>1826</v>
      </c>
      <c r="D586" s="679"/>
      <c r="E586" s="679"/>
      <c r="F586" s="680"/>
      <c r="G586" s="680"/>
    </row>
    <row r="587" spans="2:7" ht="64.5" thickBot="1">
      <c r="C587" s="681" t="s">
        <v>702</v>
      </c>
      <c r="D587" s="687">
        <v>273785.65687140235</v>
      </c>
      <c r="E587" s="683" t="s">
        <v>299</v>
      </c>
      <c r="F587" s="684" t="s">
        <v>1827</v>
      </c>
      <c r="G587" s="684" t="s">
        <v>1828</v>
      </c>
    </row>
    <row r="588" spans="2:7" ht="65.25" thickTop="1" thickBot="1">
      <c r="C588" s="681" t="s">
        <v>703</v>
      </c>
      <c r="D588" s="687">
        <v>160958.01452289679</v>
      </c>
      <c r="E588" s="683" t="s">
        <v>299</v>
      </c>
      <c r="F588" s="684" t="s">
        <v>1829</v>
      </c>
      <c r="G588" s="684" t="s">
        <v>1830</v>
      </c>
    </row>
    <row r="589" spans="2:7" ht="65.25" thickTop="1" thickBot="1">
      <c r="C589" s="681" t="s">
        <v>1273</v>
      </c>
      <c r="D589" s="687">
        <v>97751.760901330126</v>
      </c>
      <c r="E589" s="683" t="s">
        <v>299</v>
      </c>
      <c r="F589" s="684" t="s">
        <v>1831</v>
      </c>
      <c r="G589" s="684" t="s">
        <v>1832</v>
      </c>
    </row>
    <row r="590" spans="2:7" ht="65.25" thickTop="1" thickBot="1">
      <c r="C590" s="681" t="s">
        <v>704</v>
      </c>
      <c r="D590" s="687">
        <v>66137.269877509767</v>
      </c>
      <c r="E590" s="683" t="s">
        <v>299</v>
      </c>
      <c r="F590" s="684" t="s">
        <v>1833</v>
      </c>
      <c r="G590" s="684" t="s">
        <v>1834</v>
      </c>
    </row>
    <row r="591" spans="2:7" ht="16.5" thickTop="1" thickBot="1">
      <c r="B591" s="15" t="s">
        <v>1199</v>
      </c>
      <c r="C591" s="678" t="s">
        <v>1835</v>
      </c>
      <c r="D591" s="679"/>
      <c r="E591" s="679"/>
      <c r="F591" s="680"/>
      <c r="G591" s="680"/>
    </row>
    <row r="592" spans="2:7" ht="51.75" thickBot="1">
      <c r="B592" s="15" t="s">
        <v>1836</v>
      </c>
      <c r="C592" s="681" t="s">
        <v>1837</v>
      </c>
      <c r="D592" s="23">
        <v>3.594287446947432</v>
      </c>
      <c r="E592" s="231" t="s">
        <v>1838</v>
      </c>
      <c r="F592" s="684" t="s">
        <v>1839</v>
      </c>
      <c r="G592" s="685" t="s">
        <v>1840</v>
      </c>
    </row>
    <row r="593" spans="2:7" ht="52.5" thickTop="1" thickBot="1">
      <c r="C593" s="681" t="s">
        <v>1841</v>
      </c>
      <c r="D593" s="23">
        <v>3.6305227410650791</v>
      </c>
      <c r="E593" s="231" t="s">
        <v>1838</v>
      </c>
      <c r="F593" s="684" t="s">
        <v>1839</v>
      </c>
      <c r="G593" s="685" t="s">
        <v>1840</v>
      </c>
    </row>
    <row r="594" spans="2:7" ht="52.5" thickTop="1" thickBot="1">
      <c r="C594" s="681" t="s">
        <v>1842</v>
      </c>
      <c r="D594" s="23">
        <v>4.1866452900846873</v>
      </c>
      <c r="E594" s="231" t="s">
        <v>1838</v>
      </c>
      <c r="F594" s="684" t="s">
        <v>1839</v>
      </c>
      <c r="G594" s="685" t="s">
        <v>1840</v>
      </c>
    </row>
    <row r="595" spans="2:7" ht="52.5" thickTop="1" thickBot="1">
      <c r="C595" s="681" t="s">
        <v>1843</v>
      </c>
      <c r="D595" s="23">
        <v>4.7427678391042951</v>
      </c>
      <c r="E595" s="231" t="s">
        <v>1838</v>
      </c>
      <c r="F595" s="684" t="s">
        <v>1839</v>
      </c>
      <c r="G595" s="685" t="s">
        <v>1840</v>
      </c>
    </row>
    <row r="596" spans="2:7" ht="52.5" thickTop="1" thickBot="1">
      <c r="C596" s="681" t="s">
        <v>309</v>
      </c>
      <c r="D596" s="23">
        <v>4.7790031332219423</v>
      </c>
      <c r="E596" s="231" t="s">
        <v>1838</v>
      </c>
      <c r="F596" s="684" t="s">
        <v>1839</v>
      </c>
      <c r="G596" s="685" t="s">
        <v>1840</v>
      </c>
    </row>
    <row r="597" spans="2:7" ht="52.5" thickTop="1" thickBot="1">
      <c r="C597" s="681" t="s">
        <v>1844</v>
      </c>
      <c r="D597" s="23">
        <v>5.1763560743984129</v>
      </c>
      <c r="E597" s="231" t="s">
        <v>1838</v>
      </c>
      <c r="F597" s="684" t="s">
        <v>1839</v>
      </c>
      <c r="G597" s="685" t="s">
        <v>1840</v>
      </c>
    </row>
    <row r="598" spans="2:7" ht="52.5" thickTop="1" thickBot="1">
      <c r="C598" s="681" t="s">
        <v>555</v>
      </c>
      <c r="D598" s="23">
        <v>5.5737090155748836</v>
      </c>
      <c r="E598" s="231" t="s">
        <v>1838</v>
      </c>
      <c r="F598" s="684" t="s">
        <v>1839</v>
      </c>
      <c r="G598" s="685" t="s">
        <v>1840</v>
      </c>
    </row>
    <row r="599" spans="2:7" ht="52.5" thickTop="1" thickBot="1">
      <c r="C599" s="681" t="s">
        <v>1845</v>
      </c>
      <c r="D599" s="23">
        <v>5.9710619567513543</v>
      </c>
      <c r="E599" s="231" t="s">
        <v>1838</v>
      </c>
      <c r="F599" s="684" t="s">
        <v>1839</v>
      </c>
      <c r="G599" s="685" t="s">
        <v>1840</v>
      </c>
    </row>
    <row r="600" spans="2:7" ht="52.5" thickTop="1" thickBot="1">
      <c r="C600" s="681" t="s">
        <v>1846</v>
      </c>
      <c r="D600" s="23">
        <v>6.7657678391042957</v>
      </c>
      <c r="E600" s="231" t="s">
        <v>1838</v>
      </c>
      <c r="F600" s="684" t="s">
        <v>1839</v>
      </c>
      <c r="G600" s="685" t="s">
        <v>1840</v>
      </c>
    </row>
    <row r="601" spans="2:7" ht="52.5" thickTop="1" thickBot="1">
      <c r="C601" s="681" t="s">
        <v>1847</v>
      </c>
      <c r="D601" s="23">
        <v>7.5604737214572371</v>
      </c>
      <c r="E601" s="231" t="s">
        <v>1838</v>
      </c>
      <c r="F601" s="684" t="s">
        <v>1839</v>
      </c>
      <c r="G601" s="685" t="s">
        <v>1840</v>
      </c>
    </row>
    <row r="602" spans="2:7" ht="52.5" thickTop="1" thickBot="1">
      <c r="C602" s="681" t="s">
        <v>1848</v>
      </c>
      <c r="D602" s="23">
        <v>7.9578266626337069</v>
      </c>
      <c r="E602" s="231" t="s">
        <v>1838</v>
      </c>
      <c r="F602" s="684" t="s">
        <v>1839</v>
      </c>
      <c r="G602" s="685" t="s">
        <v>1840</v>
      </c>
    </row>
    <row r="603" spans="2:7" ht="16.5" thickTop="1" thickBot="1">
      <c r="B603" s="15" t="s">
        <v>1199</v>
      </c>
      <c r="C603" s="678" t="s">
        <v>1849</v>
      </c>
      <c r="D603" s="679"/>
      <c r="E603" s="679"/>
      <c r="F603" s="680"/>
      <c r="G603" s="680"/>
    </row>
    <row r="604" spans="2:7" ht="51.75" thickBot="1">
      <c r="C604" s="681" t="s">
        <v>1850</v>
      </c>
      <c r="D604" s="23">
        <v>3.594287446947432</v>
      </c>
      <c r="E604" s="231" t="s">
        <v>1838</v>
      </c>
      <c r="F604" s="684" t="s">
        <v>1839</v>
      </c>
      <c r="G604" s="685" t="s">
        <v>1851</v>
      </c>
    </row>
    <row r="605" spans="2:7" ht="52.5" thickTop="1" thickBot="1">
      <c r="C605" s="681" t="s">
        <v>599</v>
      </c>
      <c r="D605" s="23">
        <v>3.6305227410650791</v>
      </c>
      <c r="E605" s="231" t="s">
        <v>1838</v>
      </c>
      <c r="F605" s="684" t="s">
        <v>1839</v>
      </c>
      <c r="G605" s="685" t="s">
        <v>1851</v>
      </c>
    </row>
    <row r="606" spans="2:7" ht="52.5" thickTop="1" thickBot="1">
      <c r="C606" s="681" t="s">
        <v>882</v>
      </c>
      <c r="D606" s="23">
        <v>4.1866452900846873</v>
      </c>
      <c r="E606" s="231" t="s">
        <v>1838</v>
      </c>
      <c r="F606" s="684" t="s">
        <v>1839</v>
      </c>
      <c r="G606" s="685" t="s">
        <v>1851</v>
      </c>
    </row>
    <row r="607" spans="2:7" ht="52.5" thickTop="1" thickBot="1">
      <c r="C607" s="681" t="s">
        <v>1852</v>
      </c>
      <c r="D607" s="23">
        <v>4.7427678391042951</v>
      </c>
      <c r="E607" s="231" t="s">
        <v>1838</v>
      </c>
      <c r="F607" s="684" t="s">
        <v>1839</v>
      </c>
      <c r="G607" s="685" t="s">
        <v>1851</v>
      </c>
    </row>
    <row r="608" spans="2:7" ht="52.5" thickTop="1" thickBot="1">
      <c r="C608" s="681" t="s">
        <v>1029</v>
      </c>
      <c r="D608" s="23">
        <v>4.7790031332219423</v>
      </c>
      <c r="E608" s="231" t="s">
        <v>1838</v>
      </c>
      <c r="F608" s="684" t="s">
        <v>1839</v>
      </c>
      <c r="G608" s="685" t="s">
        <v>1851</v>
      </c>
    </row>
    <row r="609" spans="2:7" ht="52.5" thickTop="1" thickBot="1">
      <c r="C609" s="681" t="s">
        <v>1853</v>
      </c>
      <c r="D609" s="23">
        <v>5.1763560743984129</v>
      </c>
      <c r="E609" s="231" t="s">
        <v>1838</v>
      </c>
      <c r="F609" s="684" t="s">
        <v>1839</v>
      </c>
      <c r="G609" s="685" t="s">
        <v>1851</v>
      </c>
    </row>
    <row r="610" spans="2:7" ht="52.5" thickTop="1" thickBot="1">
      <c r="C610" s="681" t="s">
        <v>817</v>
      </c>
      <c r="D610" s="23">
        <v>5.5737090155748836</v>
      </c>
      <c r="E610" s="231" t="s">
        <v>1838</v>
      </c>
      <c r="F610" s="684" t="s">
        <v>1839</v>
      </c>
      <c r="G610" s="685" t="s">
        <v>1851</v>
      </c>
    </row>
    <row r="611" spans="2:7" ht="52.5" thickTop="1" thickBot="1">
      <c r="C611" s="681" t="s">
        <v>1854</v>
      </c>
      <c r="D611" s="23">
        <v>5.9710619567513543</v>
      </c>
      <c r="E611" s="231" t="s">
        <v>1838</v>
      </c>
      <c r="F611" s="684" t="s">
        <v>1839</v>
      </c>
      <c r="G611" s="685" t="s">
        <v>1851</v>
      </c>
    </row>
    <row r="612" spans="2:7" ht="52.5" thickTop="1" thickBot="1">
      <c r="C612" s="681" t="s">
        <v>1855</v>
      </c>
      <c r="D612" s="23">
        <v>6.7657678391042957</v>
      </c>
      <c r="E612" s="231" t="s">
        <v>1838</v>
      </c>
      <c r="F612" s="684" t="s">
        <v>1839</v>
      </c>
      <c r="G612" s="685" t="s">
        <v>1851</v>
      </c>
    </row>
    <row r="613" spans="2:7" ht="52.5" thickTop="1" thickBot="1">
      <c r="C613" s="681" t="s">
        <v>1856</v>
      </c>
      <c r="D613" s="23">
        <v>7.5604737214572371</v>
      </c>
      <c r="E613" s="231" t="s">
        <v>1838</v>
      </c>
      <c r="F613" s="684" t="s">
        <v>1839</v>
      </c>
      <c r="G613" s="685" t="s">
        <v>1851</v>
      </c>
    </row>
    <row r="614" spans="2:7" ht="52.5" thickTop="1" thickBot="1">
      <c r="C614" s="681" t="s">
        <v>1857</v>
      </c>
      <c r="D614" s="23">
        <v>7.9578266626337069</v>
      </c>
      <c r="E614" s="231" t="s">
        <v>1838</v>
      </c>
      <c r="F614" s="684" t="s">
        <v>1839</v>
      </c>
      <c r="G614" s="685" t="s">
        <v>1851</v>
      </c>
    </row>
    <row r="615" spans="2:7" ht="16.5" thickTop="1" thickBot="1">
      <c r="B615" s="15" t="s">
        <v>1199</v>
      </c>
      <c r="C615" s="678" t="s">
        <v>1858</v>
      </c>
      <c r="D615" s="679"/>
      <c r="E615" s="679"/>
      <c r="F615" s="680"/>
      <c r="G615" s="680"/>
    </row>
    <row r="616" spans="2:7" ht="64.5" thickBot="1">
      <c r="C616" s="681" t="s">
        <v>973</v>
      </c>
      <c r="D616" s="23">
        <v>4.7785913685160599</v>
      </c>
      <c r="E616" s="231" t="s">
        <v>1838</v>
      </c>
      <c r="F616" s="684" t="s">
        <v>1859</v>
      </c>
      <c r="G616" s="685" t="s">
        <v>1860</v>
      </c>
    </row>
    <row r="617" spans="2:7" ht="65.25" thickTop="1" thickBot="1">
      <c r="C617" s="681" t="s">
        <v>1861</v>
      </c>
      <c r="D617" s="23">
        <v>5.1759443096925306</v>
      </c>
      <c r="E617" s="231" t="s">
        <v>1838</v>
      </c>
      <c r="F617" s="684" t="s">
        <v>1859</v>
      </c>
      <c r="G617" s="685" t="s">
        <v>1860</v>
      </c>
    </row>
    <row r="618" spans="2:7" ht="65.25" thickTop="1" thickBot="1">
      <c r="C618" s="681" t="s">
        <v>1063</v>
      </c>
      <c r="D618" s="23">
        <v>5.7855619567513541</v>
      </c>
      <c r="E618" s="231" t="s">
        <v>1838</v>
      </c>
      <c r="F618" s="684" t="s">
        <v>1859</v>
      </c>
      <c r="G618" s="685" t="s">
        <v>1860</v>
      </c>
    </row>
    <row r="619" spans="2:7" ht="65.25" thickTop="1" thickBot="1">
      <c r="C619" s="681" t="s">
        <v>635</v>
      </c>
      <c r="D619" s="23">
        <v>5.9978266626337069</v>
      </c>
      <c r="E619" s="231" t="s">
        <v>1838</v>
      </c>
      <c r="F619" s="684" t="s">
        <v>1859</v>
      </c>
      <c r="G619" s="685" t="s">
        <v>1860</v>
      </c>
    </row>
    <row r="620" spans="2:7" ht="65.25" thickTop="1" thickBot="1">
      <c r="C620" s="681" t="s">
        <v>615</v>
      </c>
      <c r="D620" s="23">
        <v>6.1704247018493934</v>
      </c>
      <c r="E620" s="231" t="s">
        <v>1838</v>
      </c>
      <c r="F620" s="684" t="s">
        <v>1859</v>
      </c>
      <c r="G620" s="685" t="s">
        <v>1860</v>
      </c>
    </row>
    <row r="621" spans="2:7" ht="65.25" thickTop="1" thickBot="1">
      <c r="C621" s="681" t="s">
        <v>1862</v>
      </c>
      <c r="D621" s="23">
        <v>6.9215521528297863</v>
      </c>
      <c r="E621" s="231" t="s">
        <v>1838</v>
      </c>
      <c r="F621" s="684" t="s">
        <v>1859</v>
      </c>
      <c r="G621" s="685" t="s">
        <v>1860</v>
      </c>
    </row>
    <row r="622" spans="2:7" ht="65.25" thickTop="1" thickBot="1">
      <c r="C622" s="681" t="s">
        <v>239</v>
      </c>
      <c r="D622" s="23">
        <v>7.5000815645944918</v>
      </c>
      <c r="E622" s="231" t="s">
        <v>1838</v>
      </c>
      <c r="F622" s="684" t="s">
        <v>1859</v>
      </c>
      <c r="G622" s="685" t="s">
        <v>1860</v>
      </c>
    </row>
    <row r="623" spans="2:7" ht="65.25" thickTop="1" thickBot="1">
      <c r="C623" s="681" t="s">
        <v>640</v>
      </c>
      <c r="D623" s="23">
        <v>7.8974345057709616</v>
      </c>
      <c r="E623" s="231" t="s">
        <v>1838</v>
      </c>
      <c r="F623" s="684" t="s">
        <v>1859</v>
      </c>
      <c r="G623" s="685" t="s">
        <v>1860</v>
      </c>
    </row>
    <row r="624" spans="2:7" ht="65.25" thickTop="1" thickBot="1">
      <c r="C624" s="681" t="s">
        <v>1863</v>
      </c>
      <c r="D624" s="23">
        <v>8.692140388123903</v>
      </c>
      <c r="E624" s="231" t="s">
        <v>1838</v>
      </c>
      <c r="F624" s="684" t="s">
        <v>1859</v>
      </c>
      <c r="G624" s="685" t="s">
        <v>1860</v>
      </c>
    </row>
    <row r="625" spans="3:7" ht="65.25" thickTop="1" thickBot="1">
      <c r="C625" s="681" t="s">
        <v>876</v>
      </c>
      <c r="D625" s="23">
        <v>9.4868462704768426</v>
      </c>
      <c r="E625" s="231" t="s">
        <v>1838</v>
      </c>
      <c r="F625" s="684" t="s">
        <v>1859</v>
      </c>
      <c r="G625" s="685" t="s">
        <v>1860</v>
      </c>
    </row>
    <row r="626" spans="3:7" ht="65.25" thickTop="1" thickBot="1">
      <c r="C626" s="681" t="s">
        <v>1864</v>
      </c>
      <c r="D626" s="23">
        <v>9.8841992116533142</v>
      </c>
      <c r="E626" s="231" t="s">
        <v>1838</v>
      </c>
      <c r="F626" s="684" t="s">
        <v>1859</v>
      </c>
      <c r="G626" s="685" t="s">
        <v>1860</v>
      </c>
    </row>
    <row r="627" spans="3:7" ht="65.25" thickTop="1" thickBot="1">
      <c r="C627" s="681" t="s">
        <v>1865</v>
      </c>
      <c r="D627" s="23">
        <v>3.6543070547905696</v>
      </c>
      <c r="E627" s="231" t="s">
        <v>1838</v>
      </c>
      <c r="F627" s="684" t="s">
        <v>1866</v>
      </c>
      <c r="G627" s="685" t="s">
        <v>1860</v>
      </c>
    </row>
    <row r="628" spans="3:7" ht="65.25" thickTop="1" thickBot="1">
      <c r="C628" s="681" t="s">
        <v>1867</v>
      </c>
      <c r="D628" s="23">
        <v>3.6543070547905696</v>
      </c>
      <c r="E628" s="231" t="s">
        <v>1838</v>
      </c>
      <c r="F628" s="684" t="s">
        <v>1866</v>
      </c>
      <c r="G628" s="685" t="s">
        <v>1860</v>
      </c>
    </row>
    <row r="629" spans="3:7" ht="65.25" thickTop="1" thickBot="1">
      <c r="C629" s="681" t="s">
        <v>984</v>
      </c>
      <c r="D629" s="23">
        <v>4.0309443096925301</v>
      </c>
      <c r="E629" s="231" t="s">
        <v>1838</v>
      </c>
      <c r="F629" s="684" t="s">
        <v>1866</v>
      </c>
      <c r="G629" s="685" t="s">
        <v>1860</v>
      </c>
    </row>
    <row r="630" spans="3:7" ht="65.25" thickTop="1" thickBot="1">
      <c r="C630" s="681" t="s">
        <v>1073</v>
      </c>
      <c r="D630" s="23">
        <v>4.4075815645944907</v>
      </c>
      <c r="E630" s="231" t="s">
        <v>1838</v>
      </c>
      <c r="F630" s="684" t="s">
        <v>1866</v>
      </c>
      <c r="G630" s="685" t="s">
        <v>1860</v>
      </c>
    </row>
    <row r="631" spans="3:7" ht="65.25" thickTop="1" thickBot="1">
      <c r="C631" s="681" t="s">
        <v>1868</v>
      </c>
      <c r="D631" s="23">
        <v>4.7753756822415498</v>
      </c>
      <c r="E631" s="231" t="s">
        <v>1838</v>
      </c>
      <c r="F631" s="684" t="s">
        <v>1866</v>
      </c>
      <c r="G631" s="685" t="s">
        <v>1860</v>
      </c>
    </row>
    <row r="632" spans="3:7" ht="65.25" thickTop="1" thickBot="1">
      <c r="C632" s="681" t="s">
        <v>1869</v>
      </c>
      <c r="D632" s="23">
        <v>5.2316011724376281</v>
      </c>
      <c r="E632" s="231" t="s">
        <v>1838</v>
      </c>
      <c r="F632" s="684" t="s">
        <v>1866</v>
      </c>
      <c r="G632" s="685" t="s">
        <v>1860</v>
      </c>
    </row>
    <row r="633" spans="3:7" ht="65.25" thickTop="1" thickBot="1">
      <c r="C633" s="681" t="s">
        <v>763</v>
      </c>
      <c r="D633" s="23">
        <v>5.5772874469474321</v>
      </c>
      <c r="E633" s="231" t="s">
        <v>1838</v>
      </c>
      <c r="F633" s="684" t="s">
        <v>1866</v>
      </c>
      <c r="G633" s="685" t="s">
        <v>1860</v>
      </c>
    </row>
    <row r="634" spans="3:7" ht="65.25" thickTop="1" thickBot="1">
      <c r="C634" s="681" t="s">
        <v>1870</v>
      </c>
      <c r="D634" s="23">
        <v>5.8345423489082169</v>
      </c>
      <c r="E634" s="231" t="s">
        <v>1838</v>
      </c>
      <c r="F634" s="684" t="s">
        <v>1866</v>
      </c>
      <c r="G634" s="685" t="s">
        <v>1860</v>
      </c>
    </row>
    <row r="635" spans="3:7" ht="65.25" thickTop="1" thickBot="1">
      <c r="C635" s="681" t="s">
        <v>972</v>
      </c>
      <c r="D635" s="23">
        <v>6.0917972508690017</v>
      </c>
      <c r="E635" s="231" t="s">
        <v>1838</v>
      </c>
      <c r="F635" s="684" t="s">
        <v>1866</v>
      </c>
      <c r="G635" s="685" t="s">
        <v>1860</v>
      </c>
    </row>
    <row r="636" spans="3:7" ht="65.25" thickTop="1" thickBot="1">
      <c r="C636" s="681" t="s">
        <v>1871</v>
      </c>
      <c r="D636" s="23">
        <v>6.6063070547905696</v>
      </c>
      <c r="E636" s="231" t="s">
        <v>1838</v>
      </c>
      <c r="F636" s="684" t="s">
        <v>1866</v>
      </c>
      <c r="G636" s="685" t="s">
        <v>1860</v>
      </c>
    </row>
    <row r="637" spans="3:7" ht="65.25" thickTop="1" thickBot="1">
      <c r="C637" s="681" t="s">
        <v>1872</v>
      </c>
      <c r="D637" s="23">
        <v>6.8635619567513535</v>
      </c>
      <c r="E637" s="231" t="s">
        <v>1838</v>
      </c>
      <c r="F637" s="684" t="s">
        <v>1866</v>
      </c>
      <c r="G637" s="685" t="s">
        <v>1860</v>
      </c>
    </row>
    <row r="638" spans="3:7" ht="65.25" thickTop="1" thickBot="1">
      <c r="C638" s="681" t="s">
        <v>1873</v>
      </c>
      <c r="D638" s="23">
        <v>2.2288826587104844</v>
      </c>
      <c r="E638" s="231" t="s">
        <v>1838</v>
      </c>
      <c r="F638" s="684" t="s">
        <v>1874</v>
      </c>
      <c r="G638" s="685" t="s">
        <v>1860</v>
      </c>
    </row>
    <row r="639" spans="3:7" ht="65.25" thickTop="1" thickBot="1">
      <c r="C639" s="681" t="s">
        <v>1875</v>
      </c>
      <c r="D639" s="23">
        <v>2.2288826587104844</v>
      </c>
      <c r="E639" s="231" t="s">
        <v>1838</v>
      </c>
      <c r="F639" s="684" t="s">
        <v>1874</v>
      </c>
      <c r="G639" s="685" t="s">
        <v>1860</v>
      </c>
    </row>
    <row r="640" spans="3:7" ht="65.25" thickTop="1" thickBot="1">
      <c r="C640" s="681" t="s">
        <v>1876</v>
      </c>
      <c r="D640" s="23">
        <v>2.2758515168419722</v>
      </c>
      <c r="E640" s="231" t="s">
        <v>1838</v>
      </c>
      <c r="F640" s="684" t="s">
        <v>1874</v>
      </c>
      <c r="G640" s="685" t="s">
        <v>1860</v>
      </c>
    </row>
    <row r="641" spans="2:7" ht="65.25" thickTop="1" thickBot="1">
      <c r="C641" s="681" t="s">
        <v>1877</v>
      </c>
      <c r="D641" s="23">
        <v>2.4430971915824569</v>
      </c>
      <c r="E641" s="231" t="s">
        <v>1838</v>
      </c>
      <c r="F641" s="684" t="s">
        <v>1874</v>
      </c>
      <c r="G641" s="685" t="s">
        <v>1860</v>
      </c>
    </row>
    <row r="642" spans="2:7" ht="65.25" thickTop="1" thickBot="1">
      <c r="C642" s="681" t="s">
        <v>1878</v>
      </c>
      <c r="D642" s="23">
        <v>2.6043544003483161</v>
      </c>
      <c r="E642" s="231" t="s">
        <v>1838</v>
      </c>
      <c r="F642" s="684" t="s">
        <v>1874</v>
      </c>
      <c r="G642" s="685" t="s">
        <v>1860</v>
      </c>
    </row>
    <row r="643" spans="2:7" ht="65.25" thickTop="1" thickBot="1">
      <c r="C643" s="681" t="s">
        <v>1879</v>
      </c>
      <c r="D643" s="23">
        <v>2.6826358305674627</v>
      </c>
      <c r="E643" s="231" t="s">
        <v>1838</v>
      </c>
      <c r="F643" s="684" t="s">
        <v>1874</v>
      </c>
      <c r="G643" s="685" t="s">
        <v>1860</v>
      </c>
    </row>
    <row r="644" spans="2:7" ht="65.25" thickTop="1" thickBot="1">
      <c r="C644" s="681" t="s">
        <v>1880</v>
      </c>
      <c r="D644" s="23">
        <v>2.840213685238743</v>
      </c>
      <c r="E644" s="231" t="s">
        <v>1838</v>
      </c>
      <c r="F644" s="684" t="s">
        <v>1874</v>
      </c>
      <c r="G644" s="685" t="s">
        <v>1860</v>
      </c>
    </row>
    <row r="645" spans="2:7" ht="65.25" thickTop="1" thickBot="1">
      <c r="C645" s="681" t="s">
        <v>1881</v>
      </c>
      <c r="D645" s="23">
        <v>2.9604905018477394</v>
      </c>
      <c r="E645" s="231" t="s">
        <v>1838</v>
      </c>
      <c r="F645" s="684" t="s">
        <v>1874</v>
      </c>
      <c r="G645" s="685" t="s">
        <v>1860</v>
      </c>
    </row>
    <row r="646" spans="2:7" ht="65.25" thickTop="1" thickBot="1">
      <c r="C646" s="681" t="s">
        <v>1882</v>
      </c>
      <c r="D646" s="23">
        <v>3.0807673184567363</v>
      </c>
      <c r="E646" s="231" t="s">
        <v>1838</v>
      </c>
      <c r="F646" s="684" t="s">
        <v>1874</v>
      </c>
      <c r="G646" s="685" t="s">
        <v>1860</v>
      </c>
    </row>
    <row r="647" spans="2:7" ht="65.25" thickTop="1" thickBot="1">
      <c r="C647" s="681" t="s">
        <v>1883</v>
      </c>
      <c r="D647" s="23">
        <v>3.3213209516747293</v>
      </c>
      <c r="E647" s="231" t="s">
        <v>1838</v>
      </c>
      <c r="F647" s="684" t="s">
        <v>1874</v>
      </c>
      <c r="G647" s="685" t="s">
        <v>1860</v>
      </c>
    </row>
    <row r="648" spans="2:7" ht="65.25" thickTop="1" thickBot="1">
      <c r="C648" s="681" t="s">
        <v>1884</v>
      </c>
      <c r="D648" s="23">
        <v>3.4415977682837258</v>
      </c>
      <c r="E648" s="231" t="s">
        <v>1838</v>
      </c>
      <c r="F648" s="684" t="s">
        <v>1874</v>
      </c>
      <c r="G648" s="685" t="s">
        <v>1860</v>
      </c>
    </row>
    <row r="649" spans="2:7" ht="16.5" thickTop="1" thickBot="1">
      <c r="B649" s="15" t="s">
        <v>1199</v>
      </c>
      <c r="C649" s="678" t="s">
        <v>1885</v>
      </c>
      <c r="D649" s="679"/>
      <c r="E649" s="679"/>
      <c r="F649" s="680"/>
      <c r="G649" s="680"/>
    </row>
    <row r="650" spans="2:7" ht="64.5" thickBot="1">
      <c r="C650" s="681" t="s">
        <v>544</v>
      </c>
      <c r="D650" s="23">
        <v>0.4231091685384164</v>
      </c>
      <c r="E650" s="683" t="s">
        <v>1886</v>
      </c>
      <c r="F650" s="684" t="s">
        <v>1887</v>
      </c>
      <c r="G650" s="685" t="s">
        <v>1888</v>
      </c>
    </row>
    <row r="651" spans="2:7" ht="65.25" thickTop="1" thickBot="1">
      <c r="C651" s="681" t="s">
        <v>1889</v>
      </c>
      <c r="D651" s="23">
        <v>0.4231091685384164</v>
      </c>
      <c r="E651" s="683" t="s">
        <v>1886</v>
      </c>
      <c r="F651" s="684" t="s">
        <v>1887</v>
      </c>
      <c r="G651" s="685" t="s">
        <v>1888</v>
      </c>
    </row>
    <row r="652" spans="2:7" ht="65.25" thickTop="1" thickBot="1">
      <c r="C652" s="681" t="s">
        <v>655</v>
      </c>
      <c r="D652" s="23">
        <v>0.28889763046601508</v>
      </c>
      <c r="E652" s="683" t="s">
        <v>1886</v>
      </c>
      <c r="F652" s="684" t="s">
        <v>1887</v>
      </c>
      <c r="G652" s="685" t="s">
        <v>1888</v>
      </c>
    </row>
    <row r="653" spans="2:7" ht="65.25" thickTop="1" thickBot="1">
      <c r="C653" s="681" t="s">
        <v>545</v>
      </c>
      <c r="D653" s="23">
        <v>0.22675068293571296</v>
      </c>
      <c r="E653" s="683" t="s">
        <v>1886</v>
      </c>
      <c r="F653" s="684" t="s">
        <v>1887</v>
      </c>
      <c r="G653" s="685" t="s">
        <v>1888</v>
      </c>
    </row>
    <row r="654" spans="2:7" ht="65.25" thickTop="1" thickBot="1">
      <c r="C654" s="681" t="s">
        <v>577</v>
      </c>
      <c r="D654" s="23">
        <v>0.20522443363310233</v>
      </c>
      <c r="E654" s="683" t="s">
        <v>1886</v>
      </c>
      <c r="F654" s="684" t="s">
        <v>1887</v>
      </c>
      <c r="G654" s="685" t="s">
        <v>1888</v>
      </c>
    </row>
    <row r="655" spans="2:7" ht="65.25" thickTop="1" thickBot="1">
      <c r="C655" s="681" t="s">
        <v>233</v>
      </c>
      <c r="D655" s="23">
        <v>0.18641557835380454</v>
      </c>
      <c r="E655" s="683" t="s">
        <v>1886</v>
      </c>
      <c r="F655" s="684" t="s">
        <v>1887</v>
      </c>
      <c r="G655" s="685" t="s">
        <v>1888</v>
      </c>
    </row>
    <row r="656" spans="2:7" ht="65.25" thickTop="1" thickBot="1">
      <c r="C656" s="681" t="s">
        <v>559</v>
      </c>
      <c r="D656" s="23">
        <v>0.20720045473860807</v>
      </c>
      <c r="E656" s="683" t="s">
        <v>1886</v>
      </c>
      <c r="F656" s="684" t="s">
        <v>1887</v>
      </c>
      <c r="G656" s="685" t="s">
        <v>1888</v>
      </c>
    </row>
    <row r="657" spans="2:7" ht="65.25" thickTop="1" thickBot="1">
      <c r="C657" s="681" t="s">
        <v>578</v>
      </c>
      <c r="D657" s="23">
        <v>0.19821484507115539</v>
      </c>
      <c r="E657" s="683" t="s">
        <v>1886</v>
      </c>
      <c r="F657" s="684" t="s">
        <v>1887</v>
      </c>
      <c r="G657" s="685" t="s">
        <v>1888</v>
      </c>
    </row>
    <row r="658" spans="2:7" ht="65.25" thickTop="1" thickBot="1">
      <c r="C658" s="681" t="s">
        <v>251</v>
      </c>
      <c r="D658" s="23">
        <v>0.19109645464917727</v>
      </c>
      <c r="E658" s="683" t="s">
        <v>1886</v>
      </c>
      <c r="F658" s="684" t="s">
        <v>1887</v>
      </c>
      <c r="G658" s="685" t="s">
        <v>1888</v>
      </c>
    </row>
    <row r="659" spans="2:7" ht="65.25" thickTop="1" thickBot="1">
      <c r="C659" s="681" t="s">
        <v>804</v>
      </c>
      <c r="D659" s="23">
        <v>0.18202959455540044</v>
      </c>
      <c r="E659" s="683" t="s">
        <v>1886</v>
      </c>
      <c r="F659" s="684" t="s">
        <v>1887</v>
      </c>
      <c r="G659" s="685" t="s">
        <v>1888</v>
      </c>
    </row>
    <row r="660" spans="2:7" ht="65.25" thickTop="1" thickBot="1">
      <c r="C660" s="681" t="s">
        <v>654</v>
      </c>
      <c r="D660" s="23">
        <v>0.17763061170804759</v>
      </c>
      <c r="E660" s="683" t="s">
        <v>1886</v>
      </c>
      <c r="F660" s="684" t="s">
        <v>1887</v>
      </c>
      <c r="G660" s="685" t="s">
        <v>1888</v>
      </c>
    </row>
    <row r="661" spans="2:7" ht="65.25" thickTop="1" thickBot="1">
      <c r="C661" s="681" t="s">
        <v>1890</v>
      </c>
      <c r="D661" s="23">
        <v>0.18370568404864526</v>
      </c>
      <c r="E661" s="683" t="s">
        <v>1886</v>
      </c>
      <c r="F661" s="684" t="s">
        <v>1887</v>
      </c>
      <c r="G661" s="685" t="s">
        <v>1888</v>
      </c>
    </row>
    <row r="662" spans="2:7" ht="65.25" thickTop="1" thickBot="1">
      <c r="C662" s="681" t="s">
        <v>1891</v>
      </c>
      <c r="D662" s="23">
        <v>0.17547253922882025</v>
      </c>
      <c r="E662" s="683" t="s">
        <v>1886</v>
      </c>
      <c r="F662" s="684" t="s">
        <v>1887</v>
      </c>
      <c r="G662" s="685" t="s">
        <v>1888</v>
      </c>
    </row>
    <row r="663" spans="2:7" ht="65.25" thickTop="1" thickBot="1">
      <c r="C663" s="681" t="s">
        <v>1892</v>
      </c>
      <c r="D663" s="23">
        <v>0.16925469960946199</v>
      </c>
      <c r="E663" s="683" t="s">
        <v>1886</v>
      </c>
      <c r="F663" s="684" t="s">
        <v>1887</v>
      </c>
      <c r="G663" s="685" t="s">
        <v>1888</v>
      </c>
    </row>
    <row r="664" spans="2:7" ht="65.25" thickTop="1" thickBot="1">
      <c r="C664" s="681" t="s">
        <v>1893</v>
      </c>
      <c r="D664" s="23">
        <v>0.16326078094120344</v>
      </c>
      <c r="E664" s="683" t="s">
        <v>1886</v>
      </c>
      <c r="F664" s="684" t="s">
        <v>1887</v>
      </c>
      <c r="G664" s="685" t="s">
        <v>1888</v>
      </c>
    </row>
    <row r="665" spans="2:7" ht="65.25" thickTop="1" thickBot="1">
      <c r="C665" s="681" t="s">
        <v>1894</v>
      </c>
      <c r="D665" s="23">
        <v>0.16252682733361667</v>
      </c>
      <c r="E665" s="683" t="s">
        <v>1886</v>
      </c>
      <c r="F665" s="684" t="s">
        <v>1887</v>
      </c>
      <c r="G665" s="685" t="s">
        <v>1888</v>
      </c>
    </row>
    <row r="666" spans="2:7" ht="65.25" thickTop="1" thickBot="1">
      <c r="C666" s="681" t="s">
        <v>1895</v>
      </c>
      <c r="D666" s="23">
        <v>0.17106585240494546</v>
      </c>
      <c r="E666" s="683" t="s">
        <v>1886</v>
      </c>
      <c r="F666" s="684" t="s">
        <v>1887</v>
      </c>
      <c r="G666" s="685" t="s">
        <v>1888</v>
      </c>
    </row>
    <row r="667" spans="2:7" ht="65.25" thickTop="1" thickBot="1">
      <c r="C667" s="681" t="s">
        <v>995</v>
      </c>
      <c r="D667" s="23">
        <v>0.15922403609947589</v>
      </c>
      <c r="E667" s="683" t="s">
        <v>1886</v>
      </c>
      <c r="F667" s="684" t="s">
        <v>1887</v>
      </c>
      <c r="G667" s="685" t="s">
        <v>1888</v>
      </c>
    </row>
    <row r="668" spans="2:7" ht="65.25" thickTop="1" thickBot="1">
      <c r="C668" s="681" t="s">
        <v>1896</v>
      </c>
      <c r="D668" s="23">
        <v>0.1521897523138874</v>
      </c>
      <c r="E668" s="683" t="s">
        <v>1886</v>
      </c>
      <c r="F668" s="684" t="s">
        <v>1887</v>
      </c>
      <c r="G668" s="685" t="s">
        <v>1888</v>
      </c>
    </row>
    <row r="669" spans="2:7" ht="16.5" thickTop="1" thickBot="1">
      <c r="B669" s="15" t="s">
        <v>1199</v>
      </c>
      <c r="C669" s="678" t="s">
        <v>1897</v>
      </c>
      <c r="D669" s="679"/>
      <c r="E669" s="679"/>
      <c r="F669" s="680"/>
      <c r="G669" s="680"/>
    </row>
    <row r="670" spans="2:7" ht="64.5" thickBot="1">
      <c r="C670" s="681" t="s">
        <v>544</v>
      </c>
      <c r="D670" s="23">
        <v>0.26444323033651024</v>
      </c>
      <c r="E670" s="231" t="s">
        <v>998</v>
      </c>
      <c r="F670" s="684" t="s">
        <v>1887</v>
      </c>
      <c r="G670" s="685" t="s">
        <v>1898</v>
      </c>
    </row>
    <row r="671" spans="2:7" ht="65.25" thickTop="1" thickBot="1">
      <c r="C671" s="681" t="s">
        <v>1889</v>
      </c>
      <c r="D671" s="23">
        <v>0.26444323033651024</v>
      </c>
      <c r="E671" s="231" t="s">
        <v>998</v>
      </c>
      <c r="F671" s="684" t="s">
        <v>1887</v>
      </c>
      <c r="G671" s="685" t="s">
        <v>1898</v>
      </c>
    </row>
    <row r="672" spans="2:7" ht="65.25" thickTop="1" thickBot="1">
      <c r="C672" s="681" t="s">
        <v>655</v>
      </c>
      <c r="D672" s="23">
        <v>0.1805610190412594</v>
      </c>
      <c r="E672" s="231" t="s">
        <v>998</v>
      </c>
      <c r="F672" s="684" t="s">
        <v>1887</v>
      </c>
      <c r="G672" s="685" t="s">
        <v>1898</v>
      </c>
    </row>
    <row r="673" spans="3:7" ht="65.25" thickTop="1" thickBot="1">
      <c r="C673" s="681" t="s">
        <v>545</v>
      </c>
      <c r="D673" s="23">
        <v>0.1417191768348206</v>
      </c>
      <c r="E673" s="231" t="s">
        <v>998</v>
      </c>
      <c r="F673" s="684" t="s">
        <v>1887</v>
      </c>
      <c r="G673" s="685" t="s">
        <v>1898</v>
      </c>
    </row>
    <row r="674" spans="3:7" ht="65.25" thickTop="1" thickBot="1">
      <c r="C674" s="681" t="s">
        <v>577</v>
      </c>
      <c r="D674" s="23">
        <v>0.12826527102068894</v>
      </c>
      <c r="E674" s="231" t="s">
        <v>998</v>
      </c>
      <c r="F674" s="684" t="s">
        <v>1887</v>
      </c>
      <c r="G674" s="685" t="s">
        <v>1898</v>
      </c>
    </row>
    <row r="675" spans="3:7" ht="65.25" thickTop="1" thickBot="1">
      <c r="C675" s="681" t="s">
        <v>233</v>
      </c>
      <c r="D675" s="23">
        <v>0.11650973647112783</v>
      </c>
      <c r="E675" s="231" t="s">
        <v>998</v>
      </c>
      <c r="F675" s="684" t="s">
        <v>1887</v>
      </c>
      <c r="G675" s="685" t="s">
        <v>1898</v>
      </c>
    </row>
    <row r="676" spans="3:7" ht="65.25" thickTop="1" thickBot="1">
      <c r="C676" s="681" t="s">
        <v>559</v>
      </c>
      <c r="D676" s="23">
        <v>0.12950028421163004</v>
      </c>
      <c r="E676" s="231" t="s">
        <v>998</v>
      </c>
      <c r="F676" s="684" t="s">
        <v>1887</v>
      </c>
      <c r="G676" s="685" t="s">
        <v>1898</v>
      </c>
    </row>
    <row r="677" spans="3:7" ht="65.25" thickTop="1" thickBot="1">
      <c r="C677" s="681" t="s">
        <v>578</v>
      </c>
      <c r="D677" s="23">
        <v>0.12388427816947212</v>
      </c>
      <c r="E677" s="231" t="s">
        <v>998</v>
      </c>
      <c r="F677" s="684" t="s">
        <v>1887</v>
      </c>
      <c r="G677" s="685" t="s">
        <v>1898</v>
      </c>
    </row>
    <row r="678" spans="3:7" ht="65.25" thickTop="1" thickBot="1">
      <c r="C678" s="681" t="s">
        <v>251</v>
      </c>
      <c r="D678" s="23">
        <v>0.11943528415573579</v>
      </c>
      <c r="E678" s="231" t="s">
        <v>998</v>
      </c>
      <c r="F678" s="684" t="s">
        <v>1887</v>
      </c>
      <c r="G678" s="685" t="s">
        <v>1898</v>
      </c>
    </row>
    <row r="679" spans="3:7" ht="65.25" thickTop="1" thickBot="1">
      <c r="C679" s="681" t="s">
        <v>804</v>
      </c>
      <c r="D679" s="23">
        <v>0.11376849659712526</v>
      </c>
      <c r="E679" s="231" t="s">
        <v>998</v>
      </c>
      <c r="F679" s="684" t="s">
        <v>1887</v>
      </c>
      <c r="G679" s="685" t="s">
        <v>1898</v>
      </c>
    </row>
    <row r="680" spans="3:7" ht="65.25" thickTop="1" thickBot="1">
      <c r="C680" s="681" t="s">
        <v>654</v>
      </c>
      <c r="D680" s="23">
        <v>0.11101913231752973</v>
      </c>
      <c r="E680" s="231" t="s">
        <v>998</v>
      </c>
      <c r="F680" s="684" t="s">
        <v>1887</v>
      </c>
      <c r="G680" s="685" t="s">
        <v>1898</v>
      </c>
    </row>
    <row r="681" spans="3:7" ht="65.25" thickTop="1" thickBot="1">
      <c r="C681" s="681" t="s">
        <v>1890</v>
      </c>
      <c r="D681" s="23">
        <v>0.11481605253040328</v>
      </c>
      <c r="E681" s="231" t="s">
        <v>998</v>
      </c>
      <c r="F681" s="684" t="s">
        <v>1887</v>
      </c>
      <c r="G681" s="685" t="s">
        <v>1898</v>
      </c>
    </row>
    <row r="682" spans="3:7" ht="65.25" thickTop="1" thickBot="1">
      <c r="C682" s="681" t="s">
        <v>1891</v>
      </c>
      <c r="D682" s="23">
        <v>0.10967033701801265</v>
      </c>
      <c r="E682" s="231" t="s">
        <v>998</v>
      </c>
      <c r="F682" s="684" t="s">
        <v>1887</v>
      </c>
      <c r="G682" s="685" t="s">
        <v>1898</v>
      </c>
    </row>
    <row r="683" spans="3:7" ht="65.25" thickTop="1" thickBot="1">
      <c r="C683" s="681" t="s">
        <v>1892</v>
      </c>
      <c r="D683" s="23">
        <v>0.10578418725591374</v>
      </c>
      <c r="E683" s="231" t="s">
        <v>998</v>
      </c>
      <c r="F683" s="684" t="s">
        <v>1887</v>
      </c>
      <c r="G683" s="685" t="s">
        <v>1898</v>
      </c>
    </row>
    <row r="684" spans="3:7" ht="65.25" thickTop="1" thickBot="1">
      <c r="C684" s="681" t="s">
        <v>1893</v>
      </c>
      <c r="D684" s="23">
        <v>0.10203798808825215</v>
      </c>
      <c r="E684" s="231" t="s">
        <v>998</v>
      </c>
      <c r="F684" s="684" t="s">
        <v>1887</v>
      </c>
      <c r="G684" s="685" t="s">
        <v>1898</v>
      </c>
    </row>
    <row r="685" spans="3:7" ht="65.25" thickTop="1" thickBot="1">
      <c r="C685" s="681" t="s">
        <v>1894</v>
      </c>
      <c r="D685" s="23">
        <v>0.10157926708351042</v>
      </c>
      <c r="E685" s="231" t="s">
        <v>998</v>
      </c>
      <c r="F685" s="684" t="s">
        <v>1887</v>
      </c>
      <c r="G685" s="685" t="s">
        <v>1898</v>
      </c>
    </row>
    <row r="686" spans="3:7" ht="65.25" thickTop="1" thickBot="1">
      <c r="C686" s="681" t="s">
        <v>1895</v>
      </c>
      <c r="D686" s="23">
        <v>0.10691615775309091</v>
      </c>
      <c r="E686" s="231" t="s">
        <v>998</v>
      </c>
      <c r="F686" s="684" t="s">
        <v>1887</v>
      </c>
      <c r="G686" s="685" t="s">
        <v>1898</v>
      </c>
    </row>
    <row r="687" spans="3:7" ht="65.25" thickTop="1" thickBot="1">
      <c r="C687" s="681" t="s">
        <v>995</v>
      </c>
      <c r="D687" s="23">
        <v>9.9515022562172428E-2</v>
      </c>
      <c r="E687" s="231" t="s">
        <v>998</v>
      </c>
      <c r="F687" s="684" t="s">
        <v>1887</v>
      </c>
      <c r="G687" s="685" t="s">
        <v>1898</v>
      </c>
    </row>
    <row r="688" spans="3:7" ht="65.25" thickTop="1" thickBot="1">
      <c r="C688" s="681" t="s">
        <v>1896</v>
      </c>
      <c r="D688" s="23">
        <v>9.5118595196179614E-2</v>
      </c>
      <c r="E688" s="231" t="s">
        <v>998</v>
      </c>
      <c r="F688" s="684" t="s">
        <v>1887</v>
      </c>
      <c r="G688" s="685" t="s">
        <v>1898</v>
      </c>
    </row>
    <row r="689" spans="2:7" ht="16.5" thickTop="1" thickBot="1">
      <c r="B689" s="15" t="s">
        <v>1199</v>
      </c>
      <c r="C689" s="678" t="s">
        <v>1899</v>
      </c>
      <c r="D689" s="679"/>
      <c r="E689" s="679"/>
      <c r="F689" s="680"/>
      <c r="G689" s="680"/>
    </row>
    <row r="690" spans="2:7" ht="64.5" thickBot="1">
      <c r="C690" s="681" t="s">
        <v>544</v>
      </c>
      <c r="D690" s="23">
        <v>0.23506064918800912</v>
      </c>
      <c r="E690" s="231" t="s">
        <v>998</v>
      </c>
      <c r="F690" s="684" t="s">
        <v>1887</v>
      </c>
      <c r="G690" s="685" t="s">
        <v>1900</v>
      </c>
    </row>
    <row r="691" spans="2:7" ht="65.25" thickTop="1" thickBot="1">
      <c r="C691" s="681" t="s">
        <v>1889</v>
      </c>
      <c r="D691" s="23">
        <v>0.23506064918800912</v>
      </c>
      <c r="E691" s="231" t="s">
        <v>998</v>
      </c>
      <c r="F691" s="684" t="s">
        <v>1887</v>
      </c>
      <c r="G691" s="685" t="s">
        <v>1900</v>
      </c>
    </row>
    <row r="692" spans="2:7" ht="65.25" thickTop="1" thickBot="1">
      <c r="C692" s="681" t="s">
        <v>655</v>
      </c>
      <c r="D692" s="23">
        <v>0.1604986835922306</v>
      </c>
      <c r="E692" s="231" t="s">
        <v>998</v>
      </c>
      <c r="F692" s="684" t="s">
        <v>1887</v>
      </c>
      <c r="G692" s="685" t="s">
        <v>1900</v>
      </c>
    </row>
    <row r="693" spans="2:7" ht="65.25" thickTop="1" thickBot="1">
      <c r="C693" s="681" t="s">
        <v>545</v>
      </c>
      <c r="D693" s="23">
        <v>0.12597260163095164</v>
      </c>
      <c r="E693" s="231" t="s">
        <v>998</v>
      </c>
      <c r="F693" s="684" t="s">
        <v>1887</v>
      </c>
      <c r="G693" s="685" t="s">
        <v>1900</v>
      </c>
    </row>
    <row r="694" spans="2:7" ht="65.25" thickTop="1" thickBot="1">
      <c r="C694" s="681" t="s">
        <v>577</v>
      </c>
      <c r="D694" s="23">
        <v>0.1140135742406124</v>
      </c>
      <c r="E694" s="231" t="s">
        <v>998</v>
      </c>
      <c r="F694" s="684" t="s">
        <v>1887</v>
      </c>
      <c r="G694" s="685" t="s">
        <v>1900</v>
      </c>
    </row>
    <row r="695" spans="2:7" ht="65.25" thickTop="1" thickBot="1">
      <c r="C695" s="681" t="s">
        <v>233</v>
      </c>
      <c r="D695" s="23">
        <v>0.10356421019655808</v>
      </c>
      <c r="E695" s="231" t="s">
        <v>998</v>
      </c>
      <c r="F695" s="684" t="s">
        <v>1887</v>
      </c>
      <c r="G695" s="685" t="s">
        <v>1900</v>
      </c>
    </row>
    <row r="696" spans="2:7" ht="65.25" thickTop="1" thickBot="1">
      <c r="C696" s="681" t="s">
        <v>559</v>
      </c>
      <c r="D696" s="23">
        <v>0.11511136374367115</v>
      </c>
      <c r="E696" s="231" t="s">
        <v>998</v>
      </c>
      <c r="F696" s="684" t="s">
        <v>1887</v>
      </c>
      <c r="G696" s="685" t="s">
        <v>1900</v>
      </c>
    </row>
    <row r="697" spans="2:7" ht="65.25" thickTop="1" thickBot="1">
      <c r="C697" s="681" t="s">
        <v>578</v>
      </c>
      <c r="D697" s="23">
        <v>0.1101193583728641</v>
      </c>
      <c r="E697" s="231" t="s">
        <v>998</v>
      </c>
      <c r="F697" s="684" t="s">
        <v>1887</v>
      </c>
      <c r="G697" s="685" t="s">
        <v>1900</v>
      </c>
    </row>
    <row r="698" spans="2:7" ht="65.25" thickTop="1" thickBot="1">
      <c r="C698" s="681" t="s">
        <v>251</v>
      </c>
      <c r="D698" s="23">
        <v>0.1061646970273207</v>
      </c>
      <c r="E698" s="231" t="s">
        <v>998</v>
      </c>
      <c r="F698" s="684" t="s">
        <v>1887</v>
      </c>
      <c r="G698" s="685" t="s">
        <v>1900</v>
      </c>
    </row>
    <row r="699" spans="2:7" ht="65.25" thickTop="1" thickBot="1">
      <c r="C699" s="681" t="s">
        <v>804</v>
      </c>
      <c r="D699" s="23">
        <v>0.10112755253077801</v>
      </c>
      <c r="E699" s="231" t="s">
        <v>998</v>
      </c>
      <c r="F699" s="684" t="s">
        <v>1887</v>
      </c>
      <c r="G699" s="685" t="s">
        <v>1900</v>
      </c>
    </row>
    <row r="700" spans="2:7" ht="65.25" thickTop="1" thickBot="1">
      <c r="C700" s="681" t="s">
        <v>654</v>
      </c>
      <c r="D700" s="23">
        <v>9.8683673171137548E-2</v>
      </c>
      <c r="E700" s="231" t="s">
        <v>998</v>
      </c>
      <c r="F700" s="684" t="s">
        <v>1887</v>
      </c>
      <c r="G700" s="685" t="s">
        <v>1900</v>
      </c>
    </row>
    <row r="701" spans="2:7" ht="65.25" thickTop="1" thickBot="1">
      <c r="C701" s="681" t="s">
        <v>1890</v>
      </c>
      <c r="D701" s="23">
        <v>0.10205871336035847</v>
      </c>
      <c r="E701" s="231" t="s">
        <v>998</v>
      </c>
      <c r="F701" s="684" t="s">
        <v>1887</v>
      </c>
      <c r="G701" s="685" t="s">
        <v>1900</v>
      </c>
    </row>
    <row r="702" spans="2:7" ht="65.25" thickTop="1" thickBot="1">
      <c r="C702" s="681" t="s">
        <v>1891</v>
      </c>
      <c r="D702" s="23">
        <v>9.7484744016011246E-2</v>
      </c>
      <c r="E702" s="231" t="s">
        <v>998</v>
      </c>
      <c r="F702" s="684" t="s">
        <v>1887</v>
      </c>
      <c r="G702" s="685" t="s">
        <v>1900</v>
      </c>
    </row>
    <row r="703" spans="2:7" ht="65.25" thickTop="1" thickBot="1">
      <c r="C703" s="681" t="s">
        <v>1892</v>
      </c>
      <c r="D703" s="23">
        <v>9.4030388671923329E-2</v>
      </c>
      <c r="E703" s="231" t="s">
        <v>998</v>
      </c>
      <c r="F703" s="684" t="s">
        <v>1887</v>
      </c>
      <c r="G703" s="685" t="s">
        <v>1900</v>
      </c>
    </row>
    <row r="704" spans="2:7" ht="65.25" thickTop="1" thickBot="1">
      <c r="C704" s="681" t="s">
        <v>1893</v>
      </c>
      <c r="D704" s="23">
        <v>9.070043385622413E-2</v>
      </c>
      <c r="E704" s="231" t="s">
        <v>998</v>
      </c>
      <c r="F704" s="684" t="s">
        <v>1887</v>
      </c>
      <c r="G704" s="685" t="s">
        <v>1900</v>
      </c>
    </row>
    <row r="705" spans="2:7" ht="65.25" thickTop="1" thickBot="1">
      <c r="C705" s="681" t="s">
        <v>1894</v>
      </c>
      <c r="D705" s="23">
        <v>9.0292681852009268E-2</v>
      </c>
      <c r="E705" s="231" t="s">
        <v>998</v>
      </c>
      <c r="F705" s="684" t="s">
        <v>1887</v>
      </c>
      <c r="G705" s="685" t="s">
        <v>1900</v>
      </c>
    </row>
    <row r="706" spans="2:7" ht="65.25" thickTop="1" thickBot="1">
      <c r="C706" s="681" t="s">
        <v>1895</v>
      </c>
      <c r="D706" s="23">
        <v>9.5036584669414143E-2</v>
      </c>
      <c r="E706" s="231" t="s">
        <v>998</v>
      </c>
      <c r="F706" s="684" t="s">
        <v>1887</v>
      </c>
      <c r="G706" s="685" t="s">
        <v>1900</v>
      </c>
    </row>
    <row r="707" spans="2:7" ht="65.25" thickTop="1" thickBot="1">
      <c r="C707" s="681" t="s">
        <v>995</v>
      </c>
      <c r="D707" s="23">
        <v>8.8457797833042154E-2</v>
      </c>
      <c r="E707" s="231" t="s">
        <v>998</v>
      </c>
      <c r="F707" s="684" t="s">
        <v>1887</v>
      </c>
      <c r="G707" s="685" t="s">
        <v>1900</v>
      </c>
    </row>
    <row r="708" spans="2:7" ht="65.25" thickTop="1" thickBot="1">
      <c r="C708" s="681" t="s">
        <v>1896</v>
      </c>
      <c r="D708" s="23">
        <v>8.4549862396604114E-2</v>
      </c>
      <c r="E708" s="231" t="s">
        <v>998</v>
      </c>
      <c r="F708" s="684" t="s">
        <v>1887</v>
      </c>
      <c r="G708" s="685" t="s">
        <v>1900</v>
      </c>
    </row>
    <row r="709" spans="2:7" ht="16.5" thickTop="1" thickBot="1">
      <c r="B709" s="15" t="s">
        <v>1199</v>
      </c>
      <c r="C709" s="678" t="s">
        <v>1901</v>
      </c>
      <c r="D709" s="679"/>
      <c r="E709" s="679"/>
      <c r="F709" s="680"/>
      <c r="G709" s="680"/>
    </row>
    <row r="710" spans="2:7" ht="77.25" thickBot="1">
      <c r="C710" s="681" t="s">
        <v>544</v>
      </c>
      <c r="D710" s="23">
        <v>0.68418457138617428</v>
      </c>
      <c r="E710" s="231" t="s">
        <v>998</v>
      </c>
      <c r="F710" s="684" t="s">
        <v>1902</v>
      </c>
      <c r="G710" s="685" t="s">
        <v>1903</v>
      </c>
    </row>
    <row r="711" spans="2:7" ht="78" thickTop="1" thickBot="1">
      <c r="C711" s="681" t="s">
        <v>1889</v>
      </c>
      <c r="D711" s="23">
        <v>0.68418457138617428</v>
      </c>
      <c r="E711" s="231" t="s">
        <v>998</v>
      </c>
      <c r="F711" s="684" t="s">
        <v>1902</v>
      </c>
      <c r="G711" s="685" t="s">
        <v>1903</v>
      </c>
    </row>
    <row r="712" spans="2:7" ht="78" thickTop="1" thickBot="1">
      <c r="C712" s="681" t="s">
        <v>655</v>
      </c>
      <c r="D712" s="23">
        <v>0.55375473670720443</v>
      </c>
      <c r="E712" s="231" t="s">
        <v>998</v>
      </c>
      <c r="F712" s="684" t="s">
        <v>1902</v>
      </c>
      <c r="G712" s="685" t="s">
        <v>1903</v>
      </c>
    </row>
    <row r="713" spans="2:7" ht="78" thickTop="1" thickBot="1">
      <c r="C713" s="681" t="s">
        <v>545</v>
      </c>
      <c r="D713" s="23">
        <v>0.52565650188523994</v>
      </c>
      <c r="E713" s="231" t="s">
        <v>998</v>
      </c>
      <c r="F713" s="684" t="s">
        <v>1902</v>
      </c>
      <c r="G713" s="685" t="s">
        <v>1903</v>
      </c>
    </row>
    <row r="714" spans="2:7" ht="78" thickTop="1" thickBot="1">
      <c r="C714" s="681" t="s">
        <v>577</v>
      </c>
      <c r="D714" s="23">
        <v>0.50326306346411986</v>
      </c>
      <c r="E714" s="231" t="s">
        <v>998</v>
      </c>
      <c r="F714" s="684" t="s">
        <v>1902</v>
      </c>
      <c r="G714" s="685" t="s">
        <v>1903</v>
      </c>
    </row>
    <row r="715" spans="2:7" ht="78" thickTop="1" thickBot="1">
      <c r="C715" s="681" t="s">
        <v>233</v>
      </c>
      <c r="D715" s="23">
        <v>0.39652394962801091</v>
      </c>
      <c r="E715" s="231" t="s">
        <v>998</v>
      </c>
      <c r="F715" s="684" t="s">
        <v>1902</v>
      </c>
      <c r="G715" s="685" t="s">
        <v>1903</v>
      </c>
    </row>
    <row r="716" spans="2:7" ht="78" thickTop="1" thickBot="1">
      <c r="C716" s="681" t="s">
        <v>559</v>
      </c>
      <c r="D716" s="23">
        <v>0.33431468868249054</v>
      </c>
      <c r="E716" s="231" t="s">
        <v>998</v>
      </c>
      <c r="F716" s="684" t="s">
        <v>1902</v>
      </c>
      <c r="G716" s="685" t="s">
        <v>1903</v>
      </c>
    </row>
    <row r="717" spans="2:7" ht="78" thickTop="1" thickBot="1">
      <c r="C717" s="681" t="s">
        <v>578</v>
      </c>
      <c r="D717" s="23">
        <v>0.32986652405716321</v>
      </c>
      <c r="E717" s="231" t="s">
        <v>998</v>
      </c>
      <c r="F717" s="684" t="s">
        <v>1902</v>
      </c>
      <c r="G717" s="685" t="s">
        <v>1903</v>
      </c>
    </row>
    <row r="718" spans="2:7" ht="78" thickTop="1" thickBot="1">
      <c r="C718" s="681" t="s">
        <v>251</v>
      </c>
      <c r="D718" s="23">
        <v>0.29074477427709994</v>
      </c>
      <c r="E718" s="231" t="s">
        <v>998</v>
      </c>
      <c r="F718" s="684" t="s">
        <v>1902</v>
      </c>
      <c r="G718" s="685" t="s">
        <v>1903</v>
      </c>
    </row>
    <row r="719" spans="2:7" ht="78" thickTop="1" thickBot="1">
      <c r="C719" s="681" t="s">
        <v>804</v>
      </c>
      <c r="D719" s="23">
        <v>0.28843438083867878</v>
      </c>
      <c r="E719" s="231" t="s">
        <v>998</v>
      </c>
      <c r="F719" s="684" t="s">
        <v>1902</v>
      </c>
      <c r="G719" s="685" t="s">
        <v>1903</v>
      </c>
    </row>
    <row r="720" spans="2:7" ht="78" thickTop="1" thickBot="1">
      <c r="C720" s="681" t="s">
        <v>654</v>
      </c>
      <c r="D720" s="23">
        <v>0.26139052205677593</v>
      </c>
      <c r="E720" s="231" t="s">
        <v>998</v>
      </c>
      <c r="F720" s="684" t="s">
        <v>1902</v>
      </c>
      <c r="G720" s="685" t="s">
        <v>1903</v>
      </c>
    </row>
    <row r="721" spans="2:7" ht="78" thickTop="1" thickBot="1">
      <c r="C721" s="681" t="s">
        <v>1890</v>
      </c>
      <c r="D721" s="23">
        <v>0.24014794579682577</v>
      </c>
      <c r="E721" s="231" t="s">
        <v>998</v>
      </c>
      <c r="F721" s="684" t="s">
        <v>1902</v>
      </c>
      <c r="G721" s="685" t="s">
        <v>1903</v>
      </c>
    </row>
    <row r="722" spans="2:7" ht="78" thickTop="1" thickBot="1">
      <c r="C722" s="681" t="s">
        <v>1891</v>
      </c>
      <c r="D722" s="23">
        <v>0.21245570982434944</v>
      </c>
      <c r="E722" s="231" t="s">
        <v>998</v>
      </c>
      <c r="F722" s="684" t="s">
        <v>1902</v>
      </c>
      <c r="G722" s="685" t="s">
        <v>1903</v>
      </c>
    </row>
    <row r="723" spans="2:7" ht="78" thickTop="1" thickBot="1">
      <c r="C723" s="681" t="s">
        <v>1892</v>
      </c>
      <c r="D723" s="23">
        <v>0.20192535688947999</v>
      </c>
      <c r="E723" s="231" t="s">
        <v>998</v>
      </c>
      <c r="F723" s="684" t="s">
        <v>1902</v>
      </c>
      <c r="G723" s="685" t="s">
        <v>1903</v>
      </c>
    </row>
    <row r="724" spans="2:7" ht="78" thickTop="1" thickBot="1">
      <c r="C724" s="681" t="s">
        <v>1893</v>
      </c>
      <c r="D724" s="23">
        <v>0.19328335705340507</v>
      </c>
      <c r="E724" s="231" t="s">
        <v>998</v>
      </c>
      <c r="F724" s="684" t="s">
        <v>1902</v>
      </c>
      <c r="G724" s="685" t="s">
        <v>1903</v>
      </c>
    </row>
    <row r="725" spans="2:7" ht="78" thickTop="1" thickBot="1">
      <c r="C725" s="681" t="s">
        <v>1894</v>
      </c>
      <c r="D725" s="23">
        <v>0.18605702426296125</v>
      </c>
      <c r="E725" s="231" t="s">
        <v>998</v>
      </c>
      <c r="F725" s="684" t="s">
        <v>1902</v>
      </c>
      <c r="G725" s="685" t="s">
        <v>1903</v>
      </c>
    </row>
    <row r="726" spans="2:7" ht="78" thickTop="1" thickBot="1">
      <c r="C726" s="681" t="s">
        <v>1895</v>
      </c>
      <c r="D726" s="23">
        <v>0.15681541539353963</v>
      </c>
      <c r="E726" s="231" t="s">
        <v>998</v>
      </c>
      <c r="F726" s="684" t="s">
        <v>1902</v>
      </c>
      <c r="G726" s="685" t="s">
        <v>1903</v>
      </c>
    </row>
    <row r="727" spans="2:7" ht="78" thickTop="1" thickBot="1">
      <c r="C727" s="681" t="s">
        <v>995</v>
      </c>
      <c r="D727" s="23">
        <v>0.14590490448343077</v>
      </c>
      <c r="E727" s="231" t="s">
        <v>998</v>
      </c>
      <c r="F727" s="684" t="s">
        <v>1902</v>
      </c>
      <c r="G727" s="685" t="s">
        <v>1903</v>
      </c>
    </row>
    <row r="728" spans="2:7" ht="78" thickTop="1" thickBot="1">
      <c r="C728" s="681" t="s">
        <v>1896</v>
      </c>
      <c r="D728" s="23">
        <v>0.15080795782099102</v>
      </c>
      <c r="E728" s="231" t="s">
        <v>998</v>
      </c>
      <c r="F728" s="684" t="s">
        <v>1902</v>
      </c>
      <c r="G728" s="685" t="s">
        <v>1903</v>
      </c>
    </row>
    <row r="729" spans="2:7" ht="16.5" thickTop="1" thickBot="1">
      <c r="B729" s="15" t="s">
        <v>1199</v>
      </c>
      <c r="C729" s="678" t="s">
        <v>1904</v>
      </c>
      <c r="D729" s="679"/>
      <c r="E729" s="679"/>
      <c r="F729" s="680"/>
      <c r="G729" s="680"/>
    </row>
    <row r="730" spans="2:7" ht="77.25" thickBot="1">
      <c r="C730" s="681" t="s">
        <v>544</v>
      </c>
      <c r="D730" s="23">
        <v>0.90600389863547759</v>
      </c>
      <c r="E730" s="231" t="s">
        <v>998</v>
      </c>
      <c r="F730" s="684" t="s">
        <v>1905</v>
      </c>
      <c r="G730" s="685" t="s">
        <v>1906</v>
      </c>
    </row>
    <row r="731" spans="2:7" ht="78" thickTop="1" thickBot="1">
      <c r="C731" s="681" t="s">
        <v>1889</v>
      </c>
      <c r="D731" s="23">
        <v>0.90600389863547759</v>
      </c>
      <c r="E731" s="231" t="s">
        <v>998</v>
      </c>
      <c r="F731" s="684" t="s">
        <v>1905</v>
      </c>
      <c r="G731" s="685" t="s">
        <v>1906</v>
      </c>
    </row>
    <row r="732" spans="2:7" ht="78" thickTop="1" thickBot="1">
      <c r="C732" s="681" t="s">
        <v>655</v>
      </c>
      <c r="D732" s="23">
        <v>0.42763329893360852</v>
      </c>
      <c r="E732" s="231" t="s">
        <v>998</v>
      </c>
      <c r="F732" s="684" t="s">
        <v>1905</v>
      </c>
      <c r="G732" s="685" t="s">
        <v>1906</v>
      </c>
    </row>
    <row r="733" spans="2:7" ht="78" thickTop="1" thickBot="1">
      <c r="C733" s="681" t="s">
        <v>545</v>
      </c>
      <c r="D733" s="23">
        <v>0.38521499828001377</v>
      </c>
      <c r="E733" s="231" t="s">
        <v>998</v>
      </c>
      <c r="F733" s="684" t="s">
        <v>1905</v>
      </c>
      <c r="G733" s="685" t="s">
        <v>1906</v>
      </c>
    </row>
    <row r="734" spans="2:7" ht="78" thickTop="1" thickBot="1">
      <c r="C734" s="681" t="s">
        <v>577</v>
      </c>
      <c r="D734" s="23">
        <v>0.36400584795321633</v>
      </c>
      <c r="E734" s="231" t="s">
        <v>998</v>
      </c>
      <c r="F734" s="684" t="s">
        <v>1905</v>
      </c>
      <c r="G734" s="685" t="s">
        <v>1906</v>
      </c>
    </row>
    <row r="735" spans="2:7" ht="78" thickTop="1" thickBot="1">
      <c r="C735" s="681" t="s">
        <v>233</v>
      </c>
      <c r="D735" s="23">
        <v>0.2771873256125062</v>
      </c>
      <c r="E735" s="231" t="s">
        <v>998</v>
      </c>
      <c r="F735" s="684" t="s">
        <v>1905</v>
      </c>
      <c r="G735" s="685" t="s">
        <v>1906</v>
      </c>
    </row>
    <row r="736" spans="2:7" ht="78" thickTop="1" thickBot="1">
      <c r="C736" s="681" t="s">
        <v>559</v>
      </c>
      <c r="D736" s="23">
        <v>0.27049306272216495</v>
      </c>
      <c r="E736" s="231" t="s">
        <v>998</v>
      </c>
      <c r="F736" s="684" t="s">
        <v>1905</v>
      </c>
      <c r="G736" s="685" t="s">
        <v>1906</v>
      </c>
    </row>
    <row r="737" spans="2:7" ht="78" thickTop="1" thickBot="1">
      <c r="C737" s="681" t="s">
        <v>578</v>
      </c>
      <c r="D737" s="23">
        <v>0.23019869936278603</v>
      </c>
      <c r="E737" s="231" t="s">
        <v>998</v>
      </c>
      <c r="F737" s="684" t="s">
        <v>1905</v>
      </c>
      <c r="G737" s="685" t="s">
        <v>1906</v>
      </c>
    </row>
    <row r="738" spans="2:7" ht="78" thickTop="1" thickBot="1">
      <c r="C738" s="681" t="s">
        <v>251</v>
      </c>
      <c r="D738" s="23">
        <v>0.22709178993234719</v>
      </c>
      <c r="E738" s="231" t="s">
        <v>998</v>
      </c>
      <c r="F738" s="684" t="s">
        <v>1905</v>
      </c>
      <c r="G738" s="685" t="s">
        <v>1906</v>
      </c>
    </row>
    <row r="739" spans="2:7" ht="78" thickTop="1" thickBot="1">
      <c r="C739" s="681" t="s">
        <v>804</v>
      </c>
      <c r="D739" s="23">
        <v>0.20387891296869623</v>
      </c>
      <c r="E739" s="231" t="s">
        <v>998</v>
      </c>
      <c r="F739" s="684" t="s">
        <v>1905</v>
      </c>
      <c r="G739" s="685" t="s">
        <v>1906</v>
      </c>
    </row>
    <row r="740" spans="2:7" ht="78" thickTop="1" thickBot="1">
      <c r="C740" s="681" t="s">
        <v>654</v>
      </c>
      <c r="D740" s="23">
        <v>0.20212466460268316</v>
      </c>
      <c r="E740" s="231" t="s">
        <v>998</v>
      </c>
      <c r="F740" s="684" t="s">
        <v>1905</v>
      </c>
      <c r="G740" s="685" t="s">
        <v>1906</v>
      </c>
    </row>
    <row r="741" spans="2:7" ht="78" thickTop="1" thickBot="1">
      <c r="C741" s="681" t="s">
        <v>1890</v>
      </c>
      <c r="D741" s="23">
        <v>0.18592726369300158</v>
      </c>
      <c r="E741" s="231" t="s">
        <v>998</v>
      </c>
      <c r="F741" s="684" t="s">
        <v>1905</v>
      </c>
      <c r="G741" s="685" t="s">
        <v>1906</v>
      </c>
    </row>
    <row r="742" spans="2:7" ht="78" thickTop="1" thickBot="1">
      <c r="C742" s="681" t="s">
        <v>1891</v>
      </c>
      <c r="D742" s="23">
        <v>0.17457680148082624</v>
      </c>
      <c r="E742" s="231" t="s">
        <v>998</v>
      </c>
      <c r="F742" s="684" t="s">
        <v>1905</v>
      </c>
      <c r="G742" s="685" t="s">
        <v>1906</v>
      </c>
    </row>
    <row r="743" spans="2:7" ht="78" thickTop="1" thickBot="1">
      <c r="C743" s="681" t="s">
        <v>1892</v>
      </c>
      <c r="D743" s="23">
        <v>0.16618378052975577</v>
      </c>
      <c r="E743" s="231" t="s">
        <v>998</v>
      </c>
      <c r="F743" s="684" t="s">
        <v>1905</v>
      </c>
      <c r="G743" s="685" t="s">
        <v>1906</v>
      </c>
    </row>
    <row r="744" spans="2:7" ht="78" thickTop="1" thickBot="1">
      <c r="C744" s="681" t="s">
        <v>1893</v>
      </c>
      <c r="D744" s="23">
        <v>0.15972688317258893</v>
      </c>
      <c r="E744" s="231" t="s">
        <v>998</v>
      </c>
      <c r="F744" s="684" t="s">
        <v>1905</v>
      </c>
      <c r="G744" s="685" t="s">
        <v>1906</v>
      </c>
    </row>
    <row r="745" spans="2:7" ht="78" thickTop="1" thickBot="1">
      <c r="C745" s="681" t="s">
        <v>1894</v>
      </c>
      <c r="D745" s="23">
        <v>0.15460610021786492</v>
      </c>
      <c r="E745" s="231" t="s">
        <v>998</v>
      </c>
      <c r="F745" s="684" t="s">
        <v>1905</v>
      </c>
      <c r="G745" s="685" t="s">
        <v>1906</v>
      </c>
    </row>
    <row r="746" spans="2:7" ht="78" thickTop="1" thickBot="1">
      <c r="C746" s="681" t="s">
        <v>1895</v>
      </c>
      <c r="D746" s="23">
        <v>0.16926338722623552</v>
      </c>
      <c r="E746" s="231" t="s">
        <v>998</v>
      </c>
      <c r="F746" s="684" t="s">
        <v>1905</v>
      </c>
      <c r="G746" s="685" t="s">
        <v>1906</v>
      </c>
    </row>
    <row r="747" spans="2:7" ht="78" thickTop="1" thickBot="1">
      <c r="C747" s="681" t="s">
        <v>995</v>
      </c>
      <c r="D747" s="23">
        <v>0.15577751659468209</v>
      </c>
      <c r="E747" s="231" t="s">
        <v>998</v>
      </c>
      <c r="F747" s="684" t="s">
        <v>1905</v>
      </c>
      <c r="G747" s="685" t="s">
        <v>1906</v>
      </c>
    </row>
    <row r="748" spans="2:7" ht="78" thickTop="1" thickBot="1">
      <c r="C748" s="681" t="s">
        <v>1896</v>
      </c>
      <c r="D748" s="23">
        <v>0.16050044719642248</v>
      </c>
      <c r="E748" s="231" t="s">
        <v>998</v>
      </c>
      <c r="F748" s="684" t="s">
        <v>1905</v>
      </c>
      <c r="G748" s="685" t="s">
        <v>1906</v>
      </c>
    </row>
    <row r="749" spans="2:7" ht="16.5" thickTop="1" thickBot="1">
      <c r="B749" s="15" t="s">
        <v>1199</v>
      </c>
      <c r="C749" s="678" t="s">
        <v>1907</v>
      </c>
      <c r="D749" s="679"/>
      <c r="E749" s="679"/>
      <c r="F749" s="680"/>
      <c r="G749" s="680"/>
    </row>
    <row r="750" spans="2:7" ht="59.45" customHeight="1" thickBot="1">
      <c r="C750" s="681" t="s">
        <v>544</v>
      </c>
      <c r="D750" s="23">
        <v>12.756508589181283</v>
      </c>
      <c r="E750" s="683" t="s">
        <v>1886</v>
      </c>
      <c r="F750" s="684" t="s">
        <v>1908</v>
      </c>
      <c r="G750" s="685" t="s">
        <v>1909</v>
      </c>
    </row>
    <row r="751" spans="2:7" ht="59.45" customHeight="1" thickTop="1" thickBot="1">
      <c r="C751" s="681" t="s">
        <v>1889</v>
      </c>
      <c r="D751" s="23">
        <v>12.756508589181283</v>
      </c>
      <c r="E751" s="683" t="s">
        <v>1886</v>
      </c>
      <c r="F751" s="684" t="s">
        <v>1908</v>
      </c>
      <c r="G751" s="685" t="s">
        <v>1909</v>
      </c>
    </row>
    <row r="752" spans="2:7" ht="59.45" customHeight="1" thickTop="1" thickBot="1">
      <c r="C752" s="681" t="s">
        <v>655</v>
      </c>
      <c r="D752" s="23">
        <v>6.7055710891812863</v>
      </c>
      <c r="E752" s="683" t="s">
        <v>1886</v>
      </c>
      <c r="F752" s="684" t="s">
        <v>1908</v>
      </c>
      <c r="G752" s="685" t="s">
        <v>1909</v>
      </c>
    </row>
    <row r="753" spans="3:7" ht="59.45" customHeight="1" thickTop="1" thickBot="1">
      <c r="C753" s="681" t="s">
        <v>545</v>
      </c>
      <c r="D753" s="23">
        <v>4.6885919225146209</v>
      </c>
      <c r="E753" s="683" t="s">
        <v>1886</v>
      </c>
      <c r="F753" s="684" t="s">
        <v>1908</v>
      </c>
      <c r="G753" s="685" t="s">
        <v>1909</v>
      </c>
    </row>
    <row r="754" spans="3:7" ht="59.45" customHeight="1" thickTop="1" thickBot="1">
      <c r="C754" s="681" t="s">
        <v>577</v>
      </c>
      <c r="D754" s="23">
        <v>3.6801023391812859</v>
      </c>
      <c r="E754" s="683" t="s">
        <v>1886</v>
      </c>
      <c r="F754" s="684" t="s">
        <v>1908</v>
      </c>
      <c r="G754" s="685" t="s">
        <v>1909</v>
      </c>
    </row>
    <row r="755" spans="3:7" ht="59.45" customHeight="1" thickTop="1" thickBot="1">
      <c r="C755" s="681" t="s">
        <v>233</v>
      </c>
      <c r="D755" s="23">
        <v>3.0750085891812859</v>
      </c>
      <c r="E755" s="683" t="s">
        <v>1886</v>
      </c>
      <c r="F755" s="684" t="s">
        <v>1908</v>
      </c>
      <c r="G755" s="685" t="s">
        <v>1909</v>
      </c>
    </row>
    <row r="756" spans="3:7" ht="59.45" customHeight="1" thickTop="1" thickBot="1">
      <c r="C756" s="681" t="s">
        <v>559</v>
      </c>
      <c r="D756" s="23">
        <v>2.4456554580896683</v>
      </c>
      <c r="E756" s="683" t="s">
        <v>1886</v>
      </c>
      <c r="F756" s="684" t="s">
        <v>1908</v>
      </c>
      <c r="G756" s="685" t="s">
        <v>1909</v>
      </c>
    </row>
    <row r="757" spans="3:7" ht="59.45" customHeight="1" thickTop="1" thickBot="1">
      <c r="C757" s="681" t="s">
        <v>578</v>
      </c>
      <c r="D757" s="23">
        <v>2.1818856168198271</v>
      </c>
      <c r="E757" s="683" t="s">
        <v>1886</v>
      </c>
      <c r="F757" s="684" t="s">
        <v>1908</v>
      </c>
      <c r="G757" s="685" t="s">
        <v>1909</v>
      </c>
    </row>
    <row r="758" spans="3:7" ht="59.45" customHeight="1" thickTop="1" thickBot="1">
      <c r="C758" s="681" t="s">
        <v>251</v>
      </c>
      <c r="D758" s="23">
        <v>1.9840582358674457</v>
      </c>
      <c r="E758" s="683" t="s">
        <v>1886</v>
      </c>
      <c r="F758" s="684" t="s">
        <v>1908</v>
      </c>
      <c r="G758" s="685" t="s">
        <v>1909</v>
      </c>
    </row>
    <row r="759" spans="3:7" ht="59.45" customHeight="1" thickTop="1" thickBot="1">
      <c r="C759" s="681" t="s">
        <v>804</v>
      </c>
      <c r="D759" s="23">
        <v>1.8301924951267061</v>
      </c>
      <c r="E759" s="683" t="s">
        <v>1886</v>
      </c>
      <c r="F759" s="684" t="s">
        <v>1908</v>
      </c>
      <c r="G759" s="685" t="s">
        <v>1909</v>
      </c>
    </row>
    <row r="760" spans="3:7" ht="59.45" customHeight="1" thickTop="1" thickBot="1">
      <c r="C760" s="681" t="s">
        <v>654</v>
      </c>
      <c r="D760" s="23">
        <v>1.7070999025341134</v>
      </c>
      <c r="E760" s="683" t="s">
        <v>1886</v>
      </c>
      <c r="F760" s="684" t="s">
        <v>1908</v>
      </c>
      <c r="G760" s="685" t="s">
        <v>1909</v>
      </c>
    </row>
    <row r="761" spans="3:7" ht="59.45" customHeight="1" thickTop="1" thickBot="1">
      <c r="C761" s="681" t="s">
        <v>1890</v>
      </c>
      <c r="D761" s="23">
        <v>1.5224610136452235</v>
      </c>
      <c r="E761" s="683" t="s">
        <v>1886</v>
      </c>
      <c r="F761" s="684" t="s">
        <v>1908</v>
      </c>
      <c r="G761" s="685" t="s">
        <v>1909</v>
      </c>
    </row>
    <row r="762" spans="3:7" ht="59.45" customHeight="1" thickTop="1" thickBot="1">
      <c r="C762" s="681" t="s">
        <v>1891</v>
      </c>
      <c r="D762" s="23">
        <v>1.3905760930103037</v>
      </c>
      <c r="E762" s="683" t="s">
        <v>1886</v>
      </c>
      <c r="F762" s="684" t="s">
        <v>1908</v>
      </c>
      <c r="G762" s="685" t="s">
        <v>1909</v>
      </c>
    </row>
    <row r="763" spans="3:7" ht="59.45" customHeight="1" thickTop="1" thickBot="1">
      <c r="C763" s="681" t="s">
        <v>1892</v>
      </c>
      <c r="D763" s="23">
        <v>1.2916624025341132</v>
      </c>
      <c r="E763" s="683" t="s">
        <v>1886</v>
      </c>
      <c r="F763" s="684" t="s">
        <v>1908</v>
      </c>
      <c r="G763" s="685" t="s">
        <v>1909</v>
      </c>
    </row>
    <row r="764" spans="3:7" ht="59.45" customHeight="1" thickTop="1" thickBot="1">
      <c r="C764" s="681" t="s">
        <v>1893</v>
      </c>
      <c r="D764" s="23">
        <v>1.1586143092105261</v>
      </c>
      <c r="E764" s="683" t="s">
        <v>1886</v>
      </c>
      <c r="F764" s="684" t="s">
        <v>1908</v>
      </c>
      <c r="G764" s="685" t="s">
        <v>1909</v>
      </c>
    </row>
    <row r="765" spans="3:7" ht="59.45" customHeight="1" thickTop="1" thickBot="1">
      <c r="C765" s="681" t="s">
        <v>1894</v>
      </c>
      <c r="D765" s="23">
        <v>1.0999111842105265</v>
      </c>
      <c r="E765" s="683" t="s">
        <v>1886</v>
      </c>
      <c r="F765" s="684" t="s">
        <v>1908</v>
      </c>
      <c r="G765" s="685" t="s">
        <v>1909</v>
      </c>
    </row>
    <row r="766" spans="3:7" ht="59.45" customHeight="1" thickTop="1" thickBot="1">
      <c r="C766" s="681" t="s">
        <v>1895</v>
      </c>
      <c r="D766" s="23">
        <v>0.89695628654970738</v>
      </c>
      <c r="E766" s="683" t="s">
        <v>1886</v>
      </c>
      <c r="F766" s="684" t="s">
        <v>1908</v>
      </c>
      <c r="G766" s="685" t="s">
        <v>1909</v>
      </c>
    </row>
    <row r="767" spans="3:7" ht="59.45" customHeight="1" thickTop="1" thickBot="1">
      <c r="C767" s="681" t="s">
        <v>995</v>
      </c>
      <c r="D767" s="23">
        <v>0.81146045321637417</v>
      </c>
      <c r="E767" s="683" t="s">
        <v>1886</v>
      </c>
      <c r="F767" s="684" t="s">
        <v>1908</v>
      </c>
      <c r="G767" s="685" t="s">
        <v>1909</v>
      </c>
    </row>
    <row r="768" spans="3:7" ht="59.45" customHeight="1" thickTop="1" thickBot="1">
      <c r="C768" s="681" t="s">
        <v>1896</v>
      </c>
      <c r="D768" s="23">
        <v>0.76016295321637439</v>
      </c>
      <c r="E768" s="683" t="s">
        <v>1886</v>
      </c>
      <c r="F768" s="684" t="s">
        <v>1908</v>
      </c>
      <c r="G768" s="685" t="s">
        <v>1909</v>
      </c>
    </row>
    <row r="769" spans="2:7" ht="16.5" thickTop="1" thickBot="1">
      <c r="B769" s="15" t="s">
        <v>1199</v>
      </c>
      <c r="C769" s="678" t="s">
        <v>1910</v>
      </c>
      <c r="D769" s="679"/>
      <c r="E769" s="679"/>
      <c r="F769" s="680"/>
      <c r="G769" s="680"/>
    </row>
    <row r="770" spans="2:7" ht="59.45" customHeight="1" thickBot="1">
      <c r="C770" s="681" t="s">
        <v>544</v>
      </c>
      <c r="D770" s="23">
        <v>6.7868992852501604</v>
      </c>
      <c r="E770" s="683" t="s">
        <v>1911</v>
      </c>
      <c r="F770" s="684" t="s">
        <v>1912</v>
      </c>
      <c r="G770" s="685" t="s">
        <v>1913</v>
      </c>
    </row>
    <row r="771" spans="2:7" ht="59.45" customHeight="1" thickTop="1" thickBot="1">
      <c r="C771" s="681" t="s">
        <v>1889</v>
      </c>
      <c r="D771" s="23">
        <v>6.7868992852501604</v>
      </c>
      <c r="E771" s="683" t="s">
        <v>1911</v>
      </c>
      <c r="F771" s="684" t="s">
        <v>1912</v>
      </c>
      <c r="G771" s="685" t="s">
        <v>1913</v>
      </c>
    </row>
    <row r="772" spans="2:7" ht="59.45" customHeight="1" thickTop="1" thickBot="1">
      <c r="C772" s="681" t="s">
        <v>655</v>
      </c>
      <c r="D772" s="23">
        <v>3.5115659519168294</v>
      </c>
      <c r="E772" s="683" t="s">
        <v>1911</v>
      </c>
      <c r="F772" s="684" t="s">
        <v>1912</v>
      </c>
      <c r="G772" s="685" t="s">
        <v>1913</v>
      </c>
    </row>
    <row r="773" spans="2:7" ht="59.45" customHeight="1" thickTop="1" thickBot="1">
      <c r="C773" s="681" t="s">
        <v>545</v>
      </c>
      <c r="D773" s="23">
        <v>2.4197881741390512</v>
      </c>
      <c r="E773" s="683" t="s">
        <v>1911</v>
      </c>
      <c r="F773" s="684" t="s">
        <v>1912</v>
      </c>
      <c r="G773" s="685" t="s">
        <v>1913</v>
      </c>
    </row>
    <row r="774" spans="2:7" ht="59.45" customHeight="1" thickTop="1" thickBot="1">
      <c r="C774" s="681" t="s">
        <v>577</v>
      </c>
      <c r="D774" s="23">
        <v>1.8738992852501624</v>
      </c>
      <c r="E774" s="683" t="s">
        <v>1911</v>
      </c>
      <c r="F774" s="684" t="s">
        <v>1912</v>
      </c>
      <c r="G774" s="685" t="s">
        <v>1913</v>
      </c>
    </row>
    <row r="775" spans="2:7" ht="59.45" customHeight="1" thickTop="1" thickBot="1">
      <c r="C775" s="681" t="s">
        <v>233</v>
      </c>
      <c r="D775" s="23">
        <v>1.5463659519168289</v>
      </c>
      <c r="E775" s="683" t="s">
        <v>1911</v>
      </c>
      <c r="F775" s="684" t="s">
        <v>1912</v>
      </c>
      <c r="G775" s="685" t="s">
        <v>1913</v>
      </c>
    </row>
    <row r="776" spans="2:7" ht="59.45" customHeight="1" thickTop="1" thickBot="1">
      <c r="C776" s="681" t="s">
        <v>559</v>
      </c>
      <c r="D776" s="23">
        <v>1.3280103963612735</v>
      </c>
      <c r="E776" s="683" t="s">
        <v>1911</v>
      </c>
      <c r="F776" s="684" t="s">
        <v>1912</v>
      </c>
      <c r="G776" s="685" t="s">
        <v>1913</v>
      </c>
    </row>
    <row r="777" spans="2:7" ht="59.45" customHeight="1" thickTop="1" thickBot="1">
      <c r="C777" s="681" t="s">
        <v>578</v>
      </c>
      <c r="D777" s="23">
        <v>1.1720421423930196</v>
      </c>
      <c r="E777" s="683" t="s">
        <v>1911</v>
      </c>
      <c r="F777" s="684" t="s">
        <v>1912</v>
      </c>
      <c r="G777" s="685" t="s">
        <v>1913</v>
      </c>
    </row>
    <row r="778" spans="2:7" ht="59.45" customHeight="1" thickTop="1" thickBot="1">
      <c r="C778" s="681" t="s">
        <v>251</v>
      </c>
      <c r="D778" s="23">
        <v>1.0550659519168291</v>
      </c>
      <c r="E778" s="683" t="s">
        <v>1911</v>
      </c>
      <c r="F778" s="684" t="s">
        <v>1912</v>
      </c>
      <c r="G778" s="685" t="s">
        <v>1913</v>
      </c>
    </row>
    <row r="779" spans="2:7" ht="59.45" customHeight="1" thickTop="1" thickBot="1">
      <c r="C779" s="681" t="s">
        <v>804</v>
      </c>
      <c r="D779" s="23">
        <v>0.96408447043534751</v>
      </c>
      <c r="E779" s="683" t="s">
        <v>1911</v>
      </c>
      <c r="F779" s="684" t="s">
        <v>1912</v>
      </c>
      <c r="G779" s="685" t="s">
        <v>1913</v>
      </c>
    </row>
    <row r="780" spans="2:7" ht="59.45" customHeight="1" thickTop="1" thickBot="1">
      <c r="C780" s="681" t="s">
        <v>654</v>
      </c>
      <c r="D780" s="23">
        <v>0.89129928525016244</v>
      </c>
      <c r="E780" s="683" t="s">
        <v>1911</v>
      </c>
      <c r="F780" s="684" t="s">
        <v>1912</v>
      </c>
      <c r="G780" s="685" t="s">
        <v>1913</v>
      </c>
    </row>
    <row r="781" spans="2:7" ht="59.45" customHeight="1" thickTop="1" thickBot="1">
      <c r="C781" s="681" t="s">
        <v>1890</v>
      </c>
      <c r="D781" s="23">
        <v>0.78212150747238429</v>
      </c>
      <c r="E781" s="683" t="s">
        <v>1911</v>
      </c>
      <c r="F781" s="684" t="s">
        <v>1912</v>
      </c>
      <c r="G781" s="685" t="s">
        <v>1913</v>
      </c>
    </row>
    <row r="782" spans="2:7" ht="59.45" customHeight="1" thickTop="1" thickBot="1">
      <c r="C782" s="681" t="s">
        <v>1891</v>
      </c>
      <c r="D782" s="23">
        <v>0.70413738048825769</v>
      </c>
      <c r="E782" s="683" t="s">
        <v>1911</v>
      </c>
      <c r="F782" s="684" t="s">
        <v>1912</v>
      </c>
      <c r="G782" s="685" t="s">
        <v>1913</v>
      </c>
    </row>
    <row r="783" spans="2:7" ht="59.45" customHeight="1" thickTop="1" thickBot="1">
      <c r="C783" s="681" t="s">
        <v>1892</v>
      </c>
      <c r="D783" s="23">
        <v>0.64564928525016219</v>
      </c>
      <c r="E783" s="683" t="s">
        <v>1911</v>
      </c>
      <c r="F783" s="684" t="s">
        <v>1912</v>
      </c>
      <c r="G783" s="685" t="s">
        <v>1913</v>
      </c>
    </row>
    <row r="784" spans="2:7" ht="59.45" customHeight="1" thickTop="1" thickBot="1">
      <c r="C784" s="681" t="s">
        <v>1893</v>
      </c>
      <c r="D784" s="23">
        <v>0.60015854450942174</v>
      </c>
      <c r="E784" s="683" t="s">
        <v>1911</v>
      </c>
      <c r="F784" s="684" t="s">
        <v>1912</v>
      </c>
      <c r="G784" s="685" t="s">
        <v>1913</v>
      </c>
    </row>
    <row r="785" spans="2:7" ht="59.45" customHeight="1" thickTop="1" thickBot="1">
      <c r="C785" s="681" t="s">
        <v>1894</v>
      </c>
      <c r="D785" s="23">
        <v>0.5637659519168291</v>
      </c>
      <c r="E785" s="683" t="s">
        <v>1911</v>
      </c>
      <c r="F785" s="684" t="s">
        <v>1912</v>
      </c>
      <c r="G785" s="685" t="s">
        <v>1913</v>
      </c>
    </row>
    <row r="786" spans="2:7" ht="59.45" customHeight="1" thickTop="1" thickBot="1">
      <c r="C786" s="681" t="s">
        <v>1895</v>
      </c>
      <c r="D786" s="23">
        <v>0.45458817413905134</v>
      </c>
      <c r="E786" s="683" t="s">
        <v>1911</v>
      </c>
      <c r="F786" s="684" t="s">
        <v>1912</v>
      </c>
      <c r="G786" s="685" t="s">
        <v>1913</v>
      </c>
    </row>
    <row r="787" spans="2:7" ht="59.45" customHeight="1" thickTop="1" thickBot="1">
      <c r="C787" s="681" t="s">
        <v>995</v>
      </c>
      <c r="D787" s="23">
        <v>0.39999928525016243</v>
      </c>
      <c r="E787" s="683" t="s">
        <v>1911</v>
      </c>
      <c r="F787" s="684" t="s">
        <v>1912</v>
      </c>
      <c r="G787" s="685" t="s">
        <v>1913</v>
      </c>
    </row>
    <row r="788" spans="2:7" ht="59.45" customHeight="1" thickTop="1" thickBot="1">
      <c r="C788" s="681" t="s">
        <v>1896</v>
      </c>
      <c r="D788" s="23">
        <v>0.36724595191682913</v>
      </c>
      <c r="E788" s="683" t="s">
        <v>1911</v>
      </c>
      <c r="F788" s="684" t="s">
        <v>1912</v>
      </c>
      <c r="G788" s="685" t="s">
        <v>1913</v>
      </c>
    </row>
    <row r="789" spans="2:7" ht="16.5" thickTop="1" thickBot="1">
      <c r="B789" s="15" t="s">
        <v>1199</v>
      </c>
      <c r="C789" s="678" t="s">
        <v>1914</v>
      </c>
      <c r="D789" s="679"/>
      <c r="E789" s="679"/>
      <c r="F789" s="680"/>
      <c r="G789" s="680"/>
    </row>
    <row r="790" spans="2:7" ht="58.5" customHeight="1" thickBot="1">
      <c r="C790" s="681" t="s">
        <v>544</v>
      </c>
      <c r="D790" s="23">
        <v>6.3501881741390518</v>
      </c>
      <c r="E790" s="683" t="s">
        <v>1911</v>
      </c>
      <c r="F790" s="684" t="s">
        <v>1915</v>
      </c>
      <c r="G790" s="685" t="s">
        <v>1916</v>
      </c>
    </row>
    <row r="791" spans="2:7" ht="58.5" customHeight="1" thickTop="1" thickBot="1">
      <c r="C791" s="681" t="s">
        <v>1889</v>
      </c>
      <c r="D791" s="23">
        <v>6.3501881741390518</v>
      </c>
      <c r="E791" s="683" t="s">
        <v>1911</v>
      </c>
      <c r="F791" s="684" t="s">
        <v>1915</v>
      </c>
      <c r="G791" s="685" t="s">
        <v>1916</v>
      </c>
    </row>
    <row r="792" spans="2:7" ht="58.5" customHeight="1" thickTop="1" thickBot="1">
      <c r="C792" s="681" t="s">
        <v>655</v>
      </c>
      <c r="D792" s="23">
        <v>3.2932103963612738</v>
      </c>
      <c r="E792" s="683" t="s">
        <v>1911</v>
      </c>
      <c r="F792" s="684" t="s">
        <v>1915</v>
      </c>
      <c r="G792" s="685" t="s">
        <v>1916</v>
      </c>
    </row>
    <row r="793" spans="2:7" ht="58.5" customHeight="1" thickTop="1" thickBot="1">
      <c r="C793" s="681" t="s">
        <v>545</v>
      </c>
      <c r="D793" s="23">
        <v>2.2742178037686811</v>
      </c>
      <c r="E793" s="683" t="s">
        <v>1911</v>
      </c>
      <c r="F793" s="684" t="s">
        <v>1915</v>
      </c>
      <c r="G793" s="685" t="s">
        <v>1916</v>
      </c>
    </row>
    <row r="794" spans="2:7" ht="58.5" customHeight="1" thickTop="1" thickBot="1">
      <c r="C794" s="681" t="s">
        <v>577</v>
      </c>
      <c r="D794" s="23">
        <v>1.7647215074723845</v>
      </c>
      <c r="E794" s="683" t="s">
        <v>1911</v>
      </c>
      <c r="F794" s="684" t="s">
        <v>1915</v>
      </c>
      <c r="G794" s="685" t="s">
        <v>1916</v>
      </c>
    </row>
    <row r="795" spans="2:7" ht="58.5" customHeight="1" thickTop="1" thickBot="1">
      <c r="C795" s="681" t="s">
        <v>233</v>
      </c>
      <c r="D795" s="23">
        <v>1.4590237296946067</v>
      </c>
      <c r="E795" s="683" t="s">
        <v>1911</v>
      </c>
      <c r="F795" s="684" t="s">
        <v>1915</v>
      </c>
      <c r="G795" s="685" t="s">
        <v>1916</v>
      </c>
    </row>
    <row r="796" spans="2:7" ht="58.5" customHeight="1" thickTop="1" thickBot="1">
      <c r="C796" s="681" t="s">
        <v>559</v>
      </c>
      <c r="D796" s="23">
        <v>1.2552252111760884</v>
      </c>
      <c r="E796" s="683" t="s">
        <v>1911</v>
      </c>
      <c r="F796" s="684" t="s">
        <v>1915</v>
      </c>
      <c r="G796" s="685" t="s">
        <v>1916</v>
      </c>
    </row>
    <row r="797" spans="2:7" ht="58.5" customHeight="1" thickTop="1" thickBot="1">
      <c r="C797" s="681" t="s">
        <v>578</v>
      </c>
      <c r="D797" s="23">
        <v>1.1096548408057179</v>
      </c>
      <c r="E797" s="683" t="s">
        <v>1911</v>
      </c>
      <c r="F797" s="684" t="s">
        <v>1915</v>
      </c>
      <c r="G797" s="685" t="s">
        <v>1916</v>
      </c>
    </row>
    <row r="798" spans="2:7" ht="58.5" customHeight="1" thickTop="1" thickBot="1">
      <c r="C798" s="681" t="s">
        <v>251</v>
      </c>
      <c r="D798" s="23">
        <v>1.0004770630279403</v>
      </c>
      <c r="E798" s="683" t="s">
        <v>1911</v>
      </c>
      <c r="F798" s="684" t="s">
        <v>1915</v>
      </c>
      <c r="G798" s="685" t="s">
        <v>1916</v>
      </c>
    </row>
    <row r="799" spans="2:7" ht="58.5" customHeight="1" thickTop="1" thickBot="1">
      <c r="C799" s="681" t="s">
        <v>804</v>
      </c>
      <c r="D799" s="23">
        <v>0.91556101364522424</v>
      </c>
      <c r="E799" s="683" t="s">
        <v>1911</v>
      </c>
      <c r="F799" s="684" t="s">
        <v>1915</v>
      </c>
      <c r="G799" s="685" t="s">
        <v>1916</v>
      </c>
    </row>
    <row r="800" spans="2:7" ht="58.5" customHeight="1" thickTop="1" thickBot="1">
      <c r="C800" s="681" t="s">
        <v>654</v>
      </c>
      <c r="D800" s="23">
        <v>0.84762817413905123</v>
      </c>
      <c r="E800" s="683" t="s">
        <v>1911</v>
      </c>
      <c r="F800" s="684" t="s">
        <v>1915</v>
      </c>
      <c r="G800" s="685" t="s">
        <v>1916</v>
      </c>
    </row>
    <row r="801" spans="2:7" ht="58.5" customHeight="1" thickTop="1" thickBot="1">
      <c r="C801" s="681" t="s">
        <v>1890</v>
      </c>
      <c r="D801" s="23">
        <v>0.74572891487979198</v>
      </c>
      <c r="E801" s="683" t="s">
        <v>1911</v>
      </c>
      <c r="F801" s="684" t="s">
        <v>1915</v>
      </c>
      <c r="G801" s="685" t="s">
        <v>1916</v>
      </c>
    </row>
    <row r="802" spans="2:7" ht="58.5" customHeight="1" thickTop="1" thickBot="1">
      <c r="C802" s="681" t="s">
        <v>1891</v>
      </c>
      <c r="D802" s="23">
        <v>0.67294372969460692</v>
      </c>
      <c r="E802" s="683" t="s">
        <v>1911</v>
      </c>
      <c r="F802" s="684" t="s">
        <v>1915</v>
      </c>
      <c r="G802" s="685" t="s">
        <v>1916</v>
      </c>
    </row>
    <row r="803" spans="2:7" ht="58.5" customHeight="1" thickTop="1" thickBot="1">
      <c r="C803" s="681" t="s">
        <v>1892</v>
      </c>
      <c r="D803" s="23">
        <v>0.61835484080571801</v>
      </c>
      <c r="E803" s="683" t="s">
        <v>1911</v>
      </c>
      <c r="F803" s="684" t="s">
        <v>1915</v>
      </c>
      <c r="G803" s="685" t="s">
        <v>1916</v>
      </c>
    </row>
    <row r="804" spans="2:7" ht="58.5" customHeight="1" thickTop="1" thickBot="1">
      <c r="C804" s="681" t="s">
        <v>1893</v>
      </c>
      <c r="D804" s="23">
        <v>0.57589681611435994</v>
      </c>
      <c r="E804" s="683" t="s">
        <v>1911</v>
      </c>
      <c r="F804" s="684" t="s">
        <v>1915</v>
      </c>
      <c r="G804" s="685" t="s">
        <v>1916</v>
      </c>
    </row>
    <row r="805" spans="2:7" ht="58.5" customHeight="1" thickTop="1" thickBot="1">
      <c r="C805" s="681" t="s">
        <v>1894</v>
      </c>
      <c r="D805" s="23">
        <v>0.54193039636127349</v>
      </c>
      <c r="E805" s="683" t="s">
        <v>1911</v>
      </c>
      <c r="F805" s="684" t="s">
        <v>1915</v>
      </c>
      <c r="G805" s="685" t="s">
        <v>1916</v>
      </c>
    </row>
    <row r="806" spans="2:7" ht="58.5" customHeight="1" thickTop="1" thickBot="1">
      <c r="C806" s="681" t="s">
        <v>1895</v>
      </c>
      <c r="D806" s="23">
        <v>0.4400311371020143</v>
      </c>
      <c r="E806" s="683" t="s">
        <v>1911</v>
      </c>
      <c r="F806" s="684" t="s">
        <v>1915</v>
      </c>
      <c r="G806" s="685" t="s">
        <v>1916</v>
      </c>
    </row>
    <row r="807" spans="2:7" ht="58.5" customHeight="1" thickTop="1" thickBot="1">
      <c r="C807" s="681" t="s">
        <v>995</v>
      </c>
      <c r="D807" s="23">
        <v>0.38908150747238457</v>
      </c>
      <c r="E807" s="683" t="s">
        <v>1911</v>
      </c>
      <c r="F807" s="684" t="s">
        <v>1915</v>
      </c>
      <c r="G807" s="685" t="s">
        <v>1916</v>
      </c>
    </row>
    <row r="808" spans="2:7" ht="58.5" customHeight="1" thickTop="1" thickBot="1">
      <c r="C808" s="681" t="s">
        <v>1896</v>
      </c>
      <c r="D808" s="23">
        <v>0.35851172969460682</v>
      </c>
      <c r="E808" s="683" t="s">
        <v>1911</v>
      </c>
      <c r="F808" s="684" t="s">
        <v>1915</v>
      </c>
      <c r="G808" s="685" t="s">
        <v>1916</v>
      </c>
    </row>
    <row r="809" spans="2:7" ht="16.5" thickTop="1" thickBot="1">
      <c r="B809" s="15" t="s">
        <v>1199</v>
      </c>
      <c r="C809" s="678" t="s">
        <v>1917</v>
      </c>
      <c r="D809" s="679"/>
      <c r="E809" s="679"/>
      <c r="F809" s="680"/>
      <c r="G809" s="680"/>
    </row>
    <row r="810" spans="2:7" ht="63.6" customHeight="1" thickBot="1">
      <c r="C810" s="681" t="s">
        <v>544</v>
      </c>
      <c r="D810" s="23">
        <v>7.620225808966862</v>
      </c>
      <c r="E810" s="683" t="s">
        <v>1911</v>
      </c>
      <c r="F810" s="684" t="s">
        <v>1915</v>
      </c>
      <c r="G810" s="685" t="s">
        <v>1918</v>
      </c>
    </row>
    <row r="811" spans="2:7" ht="63.6" customHeight="1" thickTop="1" thickBot="1">
      <c r="C811" s="681" t="s">
        <v>1889</v>
      </c>
      <c r="D811" s="23">
        <v>7.620225808966862</v>
      </c>
      <c r="E811" s="683" t="s">
        <v>1911</v>
      </c>
      <c r="F811" s="684" t="s">
        <v>1915</v>
      </c>
      <c r="G811" s="685" t="s">
        <v>1918</v>
      </c>
    </row>
    <row r="812" spans="2:7" ht="63.6" customHeight="1" thickTop="1" thickBot="1">
      <c r="C812" s="681" t="s">
        <v>655</v>
      </c>
      <c r="D812" s="23">
        <v>3.9518524756335283</v>
      </c>
      <c r="E812" s="683" t="s">
        <v>1911</v>
      </c>
      <c r="F812" s="684" t="s">
        <v>1915</v>
      </c>
      <c r="G812" s="685" t="s">
        <v>1918</v>
      </c>
    </row>
    <row r="813" spans="2:7" ht="63.6" customHeight="1" thickTop="1" thickBot="1">
      <c r="C813" s="681" t="s">
        <v>545</v>
      </c>
      <c r="D813" s="23">
        <v>2.7290613645224173</v>
      </c>
      <c r="E813" s="683" t="s">
        <v>1911</v>
      </c>
      <c r="F813" s="684" t="s">
        <v>1915</v>
      </c>
      <c r="G813" s="685" t="s">
        <v>1918</v>
      </c>
    </row>
    <row r="814" spans="2:7" ht="63.6" customHeight="1" thickTop="1" thickBot="1">
      <c r="C814" s="681" t="s">
        <v>577</v>
      </c>
      <c r="D814" s="23">
        <v>2.1176658089668612</v>
      </c>
      <c r="E814" s="683" t="s">
        <v>1911</v>
      </c>
      <c r="F814" s="684" t="s">
        <v>1915</v>
      </c>
      <c r="G814" s="685" t="s">
        <v>1918</v>
      </c>
    </row>
    <row r="815" spans="2:7" ht="63.6" customHeight="1" thickTop="1" thickBot="1">
      <c r="C815" s="681" t="s">
        <v>233</v>
      </c>
      <c r="D815" s="23">
        <v>1.7508284756335279</v>
      </c>
      <c r="E815" s="683" t="s">
        <v>1911</v>
      </c>
      <c r="F815" s="684" t="s">
        <v>1915</v>
      </c>
      <c r="G815" s="685" t="s">
        <v>1918</v>
      </c>
    </row>
    <row r="816" spans="2:7" ht="63.6" customHeight="1" thickTop="1" thickBot="1">
      <c r="C816" s="681" t="s">
        <v>559</v>
      </c>
      <c r="D816" s="23">
        <v>1.5062702534113062</v>
      </c>
      <c r="E816" s="683" t="s">
        <v>1911</v>
      </c>
      <c r="F816" s="684" t="s">
        <v>1915</v>
      </c>
      <c r="G816" s="685" t="s">
        <v>1918</v>
      </c>
    </row>
    <row r="817" spans="2:7" ht="63.6" customHeight="1" thickTop="1" thickBot="1">
      <c r="C817" s="681" t="s">
        <v>578</v>
      </c>
      <c r="D817" s="23">
        <v>1.3315858089668613</v>
      </c>
      <c r="E817" s="683" t="s">
        <v>1911</v>
      </c>
      <c r="F817" s="684" t="s">
        <v>1915</v>
      </c>
      <c r="G817" s="685" t="s">
        <v>1918</v>
      </c>
    </row>
    <row r="818" spans="2:7" ht="63.6" customHeight="1" thickTop="1" thickBot="1">
      <c r="C818" s="681" t="s">
        <v>251</v>
      </c>
      <c r="D818" s="23">
        <v>1.2005724756335283</v>
      </c>
      <c r="E818" s="683" t="s">
        <v>1911</v>
      </c>
      <c r="F818" s="684" t="s">
        <v>1915</v>
      </c>
      <c r="G818" s="685" t="s">
        <v>1918</v>
      </c>
    </row>
    <row r="819" spans="2:7" ht="63.6" customHeight="1" thickTop="1" thickBot="1">
      <c r="C819" s="681" t="s">
        <v>804</v>
      </c>
      <c r="D819" s="23">
        <v>1.098673216374269</v>
      </c>
      <c r="E819" s="683" t="s">
        <v>1911</v>
      </c>
      <c r="F819" s="684" t="s">
        <v>1915</v>
      </c>
      <c r="G819" s="685" t="s">
        <v>1918</v>
      </c>
    </row>
    <row r="820" spans="2:7" ht="63.6" customHeight="1" thickTop="1" thickBot="1">
      <c r="C820" s="681" t="s">
        <v>654</v>
      </c>
      <c r="D820" s="23">
        <v>1.0171538089668615</v>
      </c>
      <c r="E820" s="683" t="s">
        <v>1911</v>
      </c>
      <c r="F820" s="684" t="s">
        <v>1915</v>
      </c>
      <c r="G820" s="685" t="s">
        <v>1918</v>
      </c>
    </row>
    <row r="821" spans="2:7" ht="63.6" customHeight="1" thickTop="1" thickBot="1">
      <c r="C821" s="681" t="s">
        <v>1890</v>
      </c>
      <c r="D821" s="23">
        <v>0.89487469785575036</v>
      </c>
      <c r="E821" s="683" t="s">
        <v>1911</v>
      </c>
      <c r="F821" s="684" t="s">
        <v>1915</v>
      </c>
      <c r="G821" s="685" t="s">
        <v>1918</v>
      </c>
    </row>
    <row r="822" spans="2:7" ht="63.6" customHeight="1" thickTop="1" thickBot="1">
      <c r="C822" s="681" t="s">
        <v>1891</v>
      </c>
      <c r="D822" s="23">
        <v>0.80753247563352826</v>
      </c>
      <c r="E822" s="683" t="s">
        <v>1911</v>
      </c>
      <c r="F822" s="684" t="s">
        <v>1915</v>
      </c>
      <c r="G822" s="685" t="s">
        <v>1918</v>
      </c>
    </row>
    <row r="823" spans="2:7" ht="63.6" customHeight="1" thickTop="1" thickBot="1">
      <c r="C823" s="681" t="s">
        <v>1892</v>
      </c>
      <c r="D823" s="23">
        <v>0.74202580896686154</v>
      </c>
      <c r="E823" s="683" t="s">
        <v>1911</v>
      </c>
      <c r="F823" s="684" t="s">
        <v>1915</v>
      </c>
      <c r="G823" s="685" t="s">
        <v>1918</v>
      </c>
    </row>
    <row r="824" spans="2:7" ht="63.6" customHeight="1" thickTop="1" thickBot="1">
      <c r="C824" s="681" t="s">
        <v>1893</v>
      </c>
      <c r="D824" s="23">
        <v>0.69107617933723187</v>
      </c>
      <c r="E824" s="683" t="s">
        <v>1911</v>
      </c>
      <c r="F824" s="684" t="s">
        <v>1915</v>
      </c>
      <c r="G824" s="685" t="s">
        <v>1918</v>
      </c>
    </row>
    <row r="825" spans="2:7" ht="63.6" customHeight="1" thickTop="1" thickBot="1">
      <c r="C825" s="681" t="s">
        <v>1894</v>
      </c>
      <c r="D825" s="23">
        <v>0.65031647563352812</v>
      </c>
      <c r="E825" s="683" t="s">
        <v>1911</v>
      </c>
      <c r="F825" s="684" t="s">
        <v>1915</v>
      </c>
      <c r="G825" s="685" t="s">
        <v>1918</v>
      </c>
    </row>
    <row r="826" spans="2:7" ht="63.6" customHeight="1" thickTop="1" thickBot="1">
      <c r="C826" s="681" t="s">
        <v>1895</v>
      </c>
      <c r="D826" s="23">
        <v>0.52803736452241712</v>
      </c>
      <c r="E826" s="683" t="s">
        <v>1911</v>
      </c>
      <c r="F826" s="684" t="s">
        <v>1915</v>
      </c>
      <c r="G826" s="685" t="s">
        <v>1918</v>
      </c>
    </row>
    <row r="827" spans="2:7" ht="63.6" customHeight="1" thickTop="1" thickBot="1">
      <c r="C827" s="681" t="s">
        <v>995</v>
      </c>
      <c r="D827" s="23">
        <v>0.46689780896686145</v>
      </c>
      <c r="E827" s="683" t="s">
        <v>1911</v>
      </c>
      <c r="F827" s="684" t="s">
        <v>1915</v>
      </c>
      <c r="G827" s="685" t="s">
        <v>1918</v>
      </c>
    </row>
    <row r="828" spans="2:7" ht="63.6" customHeight="1" thickTop="1" thickBot="1">
      <c r="C828" s="681" t="s">
        <v>1896</v>
      </c>
      <c r="D828" s="23">
        <v>0.43021407563352815</v>
      </c>
      <c r="E828" s="683" t="s">
        <v>1911</v>
      </c>
      <c r="F828" s="684" t="s">
        <v>1915</v>
      </c>
      <c r="G828" s="685" t="s">
        <v>1918</v>
      </c>
    </row>
    <row r="829" spans="2:7" ht="16.5" thickTop="1" thickBot="1">
      <c r="B829" s="15" t="s">
        <v>1199</v>
      </c>
      <c r="C829" s="678" t="s">
        <v>1919</v>
      </c>
      <c r="D829" s="679"/>
      <c r="E829" s="679"/>
      <c r="F829" s="680"/>
      <c r="G829" s="680"/>
    </row>
    <row r="830" spans="2:7" ht="15.75" thickBot="1">
      <c r="C830" s="681" t="s">
        <v>716</v>
      </c>
      <c r="D830" s="687">
        <v>834772.625</v>
      </c>
      <c r="E830" s="231" t="s">
        <v>716</v>
      </c>
      <c r="F830" s="684" t="s">
        <v>1920</v>
      </c>
      <c r="G830" s="684" t="s">
        <v>1360</v>
      </c>
    </row>
    <row r="831" spans="2:7" ht="16.5" thickTop="1" thickBot="1">
      <c r="C831" s="681" t="s">
        <v>717</v>
      </c>
      <c r="D831" s="687">
        <v>2185454</v>
      </c>
      <c r="E831" s="231" t="s">
        <v>717</v>
      </c>
      <c r="F831" s="684" t="s">
        <v>1920</v>
      </c>
      <c r="G831" s="684" t="s">
        <v>1360</v>
      </c>
    </row>
    <row r="832" spans="2:7" ht="16.5" thickTop="1" thickBot="1">
      <c r="B832" s="15" t="s">
        <v>1199</v>
      </c>
      <c r="C832" s="678" t="s">
        <v>1921</v>
      </c>
      <c r="D832" s="679"/>
      <c r="E832" s="679"/>
      <c r="F832" s="680"/>
      <c r="G832" s="680"/>
    </row>
    <row r="833" spans="2:7" ht="26.25" thickBot="1">
      <c r="C833" s="681" t="s">
        <v>889</v>
      </c>
      <c r="D833" s="687">
        <v>156.38726940000001</v>
      </c>
      <c r="E833" s="231" t="s">
        <v>299</v>
      </c>
      <c r="F833" s="684" t="s">
        <v>1922</v>
      </c>
      <c r="G833" s="684" t="s">
        <v>1923</v>
      </c>
    </row>
    <row r="834" spans="2:7" ht="16.5" thickTop="1" thickBot="1">
      <c r="C834" s="681" t="s">
        <v>742</v>
      </c>
      <c r="D834" s="687">
        <v>473.09634541637763</v>
      </c>
      <c r="E834" s="683" t="s">
        <v>299</v>
      </c>
      <c r="F834" s="684" t="s">
        <v>1924</v>
      </c>
      <c r="G834" s="684" t="s">
        <v>1925</v>
      </c>
    </row>
    <row r="835" spans="2:7" ht="31.5" thickTop="1" thickBot="1">
      <c r="C835" s="681" t="s">
        <v>535</v>
      </c>
      <c r="D835" s="687">
        <v>1047.9768316769243</v>
      </c>
      <c r="E835" s="683" t="s">
        <v>299</v>
      </c>
      <c r="F835" s="684" t="s">
        <v>1362</v>
      </c>
      <c r="G835" s="684" t="s">
        <v>1926</v>
      </c>
    </row>
    <row r="836" spans="2:7" ht="16.5" thickTop="1" thickBot="1">
      <c r="C836" s="681" t="s">
        <v>743</v>
      </c>
      <c r="D836" s="687">
        <v>1266.6334079070016</v>
      </c>
      <c r="E836" s="683" t="s">
        <v>299</v>
      </c>
      <c r="F836" s="685" t="s">
        <v>1362</v>
      </c>
      <c r="G836" s="684" t="s">
        <v>1926</v>
      </c>
    </row>
    <row r="837" spans="2:7" ht="16.5" thickTop="1" thickBot="1">
      <c r="C837" s="681" t="s">
        <v>536</v>
      </c>
      <c r="D837" s="687">
        <v>1978.1198943934883</v>
      </c>
      <c r="E837" s="683" t="s">
        <v>299</v>
      </c>
      <c r="F837" s="684" t="s">
        <v>1362</v>
      </c>
      <c r="G837" s="684" t="s">
        <v>1926</v>
      </c>
    </row>
    <row r="838" spans="2:7" ht="16.5" thickTop="1" thickBot="1">
      <c r="C838" s="681" t="s">
        <v>537</v>
      </c>
      <c r="D838" s="687">
        <v>3401.0928673664612</v>
      </c>
      <c r="E838" s="683" t="s">
        <v>299</v>
      </c>
      <c r="F838" s="684" t="s">
        <v>1362</v>
      </c>
      <c r="G838" s="684" t="s">
        <v>1926</v>
      </c>
    </row>
    <row r="839" spans="2:7" ht="16.5" thickTop="1" thickBot="1">
      <c r="C839" s="681" t="s">
        <v>538</v>
      </c>
      <c r="D839" s="687">
        <v>27579.416003948303</v>
      </c>
      <c r="E839" s="683" t="s">
        <v>299</v>
      </c>
      <c r="F839" s="684" t="s">
        <v>1362</v>
      </c>
      <c r="G839" s="684" t="s">
        <v>1926</v>
      </c>
    </row>
    <row r="840" spans="2:7" ht="15.75" thickTop="1">
      <c r="C840" s="681" t="s">
        <v>1113</v>
      </c>
      <c r="D840" s="697">
        <v>32382.535534477211</v>
      </c>
      <c r="E840" s="683" t="s">
        <v>299</v>
      </c>
      <c r="F840" s="684" t="s">
        <v>1362</v>
      </c>
      <c r="G840" s="684" t="s">
        <v>1926</v>
      </c>
    </row>
    <row r="841" spans="2:7" ht="15.75" thickBot="1">
      <c r="B841" s="15" t="s">
        <v>1199</v>
      </c>
      <c r="C841" s="678" t="s">
        <v>1927</v>
      </c>
      <c r="D841" s="679"/>
      <c r="E841" s="679"/>
      <c r="F841" s="680"/>
      <c r="G841" s="680"/>
    </row>
    <row r="842" spans="2:7" ht="42.6" customHeight="1" thickBot="1">
      <c r="C842" s="681" t="s">
        <v>1184</v>
      </c>
      <c r="D842" s="682">
        <v>104000</v>
      </c>
      <c r="E842" s="683" t="s">
        <v>1770</v>
      </c>
      <c r="F842" s="684" t="s">
        <v>1928</v>
      </c>
      <c r="G842" s="684" t="s">
        <v>1929</v>
      </c>
    </row>
    <row r="843" spans="2:7" ht="52.5" thickTop="1" thickBot="1">
      <c r="C843" s="681" t="s">
        <v>1185</v>
      </c>
      <c r="D843" s="682">
        <v>111000</v>
      </c>
      <c r="E843" s="683" t="s">
        <v>1770</v>
      </c>
      <c r="F843" s="684" t="s">
        <v>1930</v>
      </c>
      <c r="G843" s="684" t="s">
        <v>1929</v>
      </c>
    </row>
    <row r="844" spans="2:7" ht="52.5" thickTop="1" thickBot="1">
      <c r="C844" s="681" t="s">
        <v>1186</v>
      </c>
      <c r="D844" s="682">
        <v>121000</v>
      </c>
      <c r="E844" s="683" t="s">
        <v>1770</v>
      </c>
      <c r="F844" s="684" t="s">
        <v>1931</v>
      </c>
      <c r="G844" s="684" t="s">
        <v>1929</v>
      </c>
    </row>
    <row r="845" spans="2:7" ht="52.5" thickTop="1" thickBot="1">
      <c r="C845" s="681" t="s">
        <v>1187</v>
      </c>
      <c r="D845" s="682">
        <v>118000</v>
      </c>
      <c r="E845" s="683" t="s">
        <v>1770</v>
      </c>
      <c r="F845" s="684" t="s">
        <v>1932</v>
      </c>
      <c r="G845" s="684" t="s">
        <v>1929</v>
      </c>
    </row>
    <row r="846" spans="2:7" ht="39.75" thickTop="1" thickBot="1">
      <c r="C846" s="681" t="s">
        <v>1933</v>
      </c>
      <c r="D846" s="682">
        <v>190000</v>
      </c>
      <c r="E846" s="683" t="s">
        <v>1770</v>
      </c>
      <c r="F846" s="684" t="s">
        <v>1928</v>
      </c>
      <c r="G846" s="684" t="s">
        <v>1929</v>
      </c>
    </row>
    <row r="847" spans="2:7" ht="52.5" thickTop="1" thickBot="1">
      <c r="C847" s="681" t="s">
        <v>1934</v>
      </c>
      <c r="D847" s="682">
        <v>204000</v>
      </c>
      <c r="E847" s="683" t="s">
        <v>1770</v>
      </c>
      <c r="F847" s="684" t="s">
        <v>1930</v>
      </c>
      <c r="G847" s="684" t="s">
        <v>1929</v>
      </c>
    </row>
    <row r="848" spans="2:7" ht="52.5" thickTop="1" thickBot="1">
      <c r="C848" s="681" t="s">
        <v>1935</v>
      </c>
      <c r="D848" s="682">
        <v>221000</v>
      </c>
      <c r="E848" s="683" t="s">
        <v>1770</v>
      </c>
      <c r="F848" s="684" t="s">
        <v>1931</v>
      </c>
      <c r="G848" s="684" t="s">
        <v>1929</v>
      </c>
    </row>
    <row r="849" spans="2:7" ht="52.5" thickTop="1" thickBot="1">
      <c r="C849" s="681" t="s">
        <v>1936</v>
      </c>
      <c r="D849" s="682">
        <v>217000</v>
      </c>
      <c r="E849" s="683" t="s">
        <v>1770</v>
      </c>
      <c r="F849" s="684" t="s">
        <v>1932</v>
      </c>
      <c r="G849" s="684" t="s">
        <v>1929</v>
      </c>
    </row>
    <row r="850" spans="2:7" ht="39.75" thickTop="1" thickBot="1">
      <c r="C850" s="681" t="s">
        <v>1937</v>
      </c>
      <c r="D850" s="682">
        <v>359000</v>
      </c>
      <c r="E850" s="683" t="s">
        <v>1770</v>
      </c>
      <c r="F850" s="684" t="s">
        <v>1928</v>
      </c>
      <c r="G850" s="684" t="s">
        <v>1929</v>
      </c>
    </row>
    <row r="851" spans="2:7" ht="52.5" thickTop="1" thickBot="1">
      <c r="C851" s="681" t="s">
        <v>1938</v>
      </c>
      <c r="D851" s="682">
        <v>385000</v>
      </c>
      <c r="E851" s="683" t="s">
        <v>1770</v>
      </c>
      <c r="F851" s="684" t="s">
        <v>1930</v>
      </c>
      <c r="G851" s="684" t="s">
        <v>1929</v>
      </c>
    </row>
    <row r="852" spans="2:7" ht="52.5" thickTop="1" thickBot="1">
      <c r="C852" s="681" t="s">
        <v>1939</v>
      </c>
      <c r="D852" s="682">
        <v>418000</v>
      </c>
      <c r="E852" s="683" t="s">
        <v>1770</v>
      </c>
      <c r="F852" s="684" t="s">
        <v>1931</v>
      </c>
      <c r="G852" s="684" t="s">
        <v>1929</v>
      </c>
    </row>
    <row r="853" spans="2:7" ht="52.5" thickTop="1" thickBot="1">
      <c r="C853" s="681" t="s">
        <v>1940</v>
      </c>
      <c r="D853" s="682">
        <v>410000</v>
      </c>
      <c r="E853" s="683" t="s">
        <v>1770</v>
      </c>
      <c r="F853" s="684" t="s">
        <v>1932</v>
      </c>
      <c r="G853" s="684" t="s">
        <v>1929</v>
      </c>
    </row>
    <row r="854" spans="2:7" ht="39.75" thickTop="1" thickBot="1">
      <c r="C854" s="681" t="s">
        <v>1941</v>
      </c>
      <c r="D854" s="687">
        <v>442000</v>
      </c>
      <c r="E854" s="683" t="s">
        <v>1770</v>
      </c>
      <c r="F854" s="684" t="s">
        <v>1928</v>
      </c>
      <c r="G854" s="684" t="s">
        <v>1929</v>
      </c>
    </row>
    <row r="855" spans="2:7" ht="52.5" thickTop="1" thickBot="1">
      <c r="C855" s="681" t="s">
        <v>1942</v>
      </c>
      <c r="D855" s="687">
        <v>474000</v>
      </c>
      <c r="E855" s="683" t="s">
        <v>1770</v>
      </c>
      <c r="F855" s="684" t="s">
        <v>1930</v>
      </c>
      <c r="G855" s="684" t="s">
        <v>1929</v>
      </c>
    </row>
    <row r="856" spans="2:7" ht="52.5" thickTop="1" thickBot="1">
      <c r="C856" s="681" t="s">
        <v>1943</v>
      </c>
      <c r="D856" s="687">
        <v>515000</v>
      </c>
      <c r="E856" s="683" t="s">
        <v>1770</v>
      </c>
      <c r="F856" s="684" t="s">
        <v>1931</v>
      </c>
      <c r="G856" s="684" t="s">
        <v>1929</v>
      </c>
    </row>
    <row r="857" spans="2:7" ht="52.5" thickTop="1" thickBot="1">
      <c r="C857" s="681" t="s">
        <v>1944</v>
      </c>
      <c r="D857" s="687">
        <v>505000</v>
      </c>
      <c r="E857" s="683" t="s">
        <v>1770</v>
      </c>
      <c r="F857" s="684" t="s">
        <v>1932</v>
      </c>
      <c r="G857" s="684" t="s">
        <v>1929</v>
      </c>
    </row>
    <row r="858" spans="2:7" ht="27" thickTop="1" thickBot="1">
      <c r="C858" s="681" t="s">
        <v>1188</v>
      </c>
      <c r="D858" s="687">
        <v>14000</v>
      </c>
      <c r="E858" s="683" t="s">
        <v>1770</v>
      </c>
      <c r="F858" s="684" t="s">
        <v>1945</v>
      </c>
      <c r="G858" s="684" t="s">
        <v>1929</v>
      </c>
    </row>
    <row r="859" spans="2:7" ht="27" thickTop="1" thickBot="1">
      <c r="C859" s="681" t="s">
        <v>1189</v>
      </c>
      <c r="D859" s="687">
        <v>26000</v>
      </c>
      <c r="E859" s="683" t="s">
        <v>1770</v>
      </c>
      <c r="F859" s="684" t="s">
        <v>1945</v>
      </c>
      <c r="G859" s="684" t="s">
        <v>1929</v>
      </c>
    </row>
    <row r="860" spans="2:7" ht="27" thickTop="1" thickBot="1">
      <c r="C860" s="681" t="s">
        <v>1190</v>
      </c>
      <c r="D860" s="687">
        <v>48000</v>
      </c>
      <c r="E860" s="683" t="s">
        <v>1770</v>
      </c>
      <c r="F860" s="684" t="s">
        <v>1945</v>
      </c>
      <c r="G860" s="684" t="s">
        <v>1929</v>
      </c>
    </row>
    <row r="861" spans="2:7" ht="27" thickTop="1" thickBot="1">
      <c r="C861" s="681" t="s">
        <v>1191</v>
      </c>
      <c r="D861" s="687">
        <v>60000</v>
      </c>
      <c r="E861" s="683" t="s">
        <v>1770</v>
      </c>
      <c r="F861" s="684" t="s">
        <v>1945</v>
      </c>
      <c r="G861" s="684" t="s">
        <v>1929</v>
      </c>
    </row>
    <row r="862" spans="2:7" ht="16.5" thickTop="1" thickBot="1">
      <c r="B862" s="15" t="s">
        <v>1199</v>
      </c>
      <c r="C862" s="678" t="s">
        <v>1946</v>
      </c>
      <c r="D862" s="679"/>
      <c r="E862" s="679"/>
      <c r="F862" s="680"/>
      <c r="G862" s="680"/>
    </row>
    <row r="863" spans="2:7" ht="71.099999999999994" customHeight="1" thickBot="1">
      <c r="C863" s="681" t="s">
        <v>1017</v>
      </c>
      <c r="D863" s="687">
        <v>270449.7362609168</v>
      </c>
      <c r="E863" s="683" t="s">
        <v>299</v>
      </c>
      <c r="F863" s="684" t="s">
        <v>1947</v>
      </c>
      <c r="G863" s="684" t="s">
        <v>1948</v>
      </c>
    </row>
    <row r="864" spans="2:7" ht="71.099999999999994" customHeight="1" thickTop="1" thickBot="1">
      <c r="C864" s="681" t="s">
        <v>1275</v>
      </c>
      <c r="D864" s="687">
        <v>157422.09391241125</v>
      </c>
      <c r="E864" s="683" t="s">
        <v>299</v>
      </c>
      <c r="F864" s="684" t="s">
        <v>1949</v>
      </c>
      <c r="G864" s="684" t="s">
        <v>1950</v>
      </c>
    </row>
    <row r="865" spans="2:7" ht="71.099999999999994" customHeight="1" thickTop="1" thickBot="1">
      <c r="C865" s="681" t="s">
        <v>1015</v>
      </c>
      <c r="D865" s="687">
        <v>94615.840290844586</v>
      </c>
      <c r="E865" s="683" t="s">
        <v>299</v>
      </c>
      <c r="F865" s="684" t="s">
        <v>1951</v>
      </c>
      <c r="G865" s="684" t="s">
        <v>1952</v>
      </c>
    </row>
    <row r="866" spans="2:7" ht="71.099999999999994" customHeight="1" thickTop="1" thickBot="1">
      <c r="C866" s="681" t="s">
        <v>1274</v>
      </c>
      <c r="D866" s="687">
        <v>62951.349267024219</v>
      </c>
      <c r="E866" s="683" t="s">
        <v>299</v>
      </c>
      <c r="F866" s="684" t="s">
        <v>1953</v>
      </c>
      <c r="G866" s="684" t="s">
        <v>1954</v>
      </c>
    </row>
    <row r="867" spans="2:7" ht="63" customHeight="1" thickTop="1" thickBot="1">
      <c r="C867" s="681" t="s">
        <v>1014</v>
      </c>
      <c r="D867" s="688">
        <v>27580.751092369224</v>
      </c>
      <c r="E867" s="683" t="s">
        <v>299</v>
      </c>
      <c r="F867" s="684" t="s">
        <v>1955</v>
      </c>
      <c r="G867" s="684" t="s">
        <v>1956</v>
      </c>
    </row>
    <row r="868" spans="2:7" ht="27" thickTop="1" thickBot="1">
      <c r="C868" s="681" t="s">
        <v>1016</v>
      </c>
      <c r="D868" s="688">
        <v>6511.1618510906665</v>
      </c>
      <c r="E868" s="683" t="s">
        <v>299</v>
      </c>
      <c r="F868" s="684" t="s">
        <v>1957</v>
      </c>
      <c r="G868" s="684" t="s">
        <v>1956</v>
      </c>
    </row>
    <row r="869" spans="2:7" ht="16.5" thickTop="1" thickBot="1">
      <c r="B869" s="15" t="s">
        <v>1199</v>
      </c>
      <c r="C869" s="678" t="s">
        <v>1958</v>
      </c>
      <c r="D869" s="679"/>
      <c r="E869" s="679"/>
      <c r="F869" s="680"/>
      <c r="G869" s="680"/>
    </row>
    <row r="870" spans="2:7" ht="55.5" customHeight="1" thickBot="1">
      <c r="C870" s="681" t="s">
        <v>478</v>
      </c>
      <c r="D870" s="21">
        <v>11.26163640766136</v>
      </c>
      <c r="E870" s="231" t="s">
        <v>211</v>
      </c>
      <c r="F870" s="684" t="s">
        <v>1959</v>
      </c>
      <c r="G870" s="685" t="s">
        <v>1960</v>
      </c>
    </row>
    <row r="871" spans="2:7" ht="55.5" customHeight="1" thickTop="1" thickBot="1">
      <c r="C871" s="681" t="s">
        <v>1961</v>
      </c>
      <c r="D871" s="21">
        <v>30.397456199740397</v>
      </c>
      <c r="E871" s="231" t="s">
        <v>211</v>
      </c>
      <c r="F871" s="684" t="s">
        <v>1959</v>
      </c>
      <c r="G871" s="685" t="s">
        <v>1960</v>
      </c>
    </row>
    <row r="872" spans="2:7" ht="55.5" customHeight="1" thickTop="1" thickBot="1">
      <c r="C872" s="681" t="s">
        <v>1962</v>
      </c>
      <c r="D872" s="21">
        <v>117.23099743337332</v>
      </c>
      <c r="E872" s="231" t="s">
        <v>211</v>
      </c>
      <c r="F872" s="684" t="s">
        <v>1959</v>
      </c>
      <c r="G872" s="685" t="s">
        <v>1960</v>
      </c>
    </row>
    <row r="873" spans="2:7" ht="55.5" customHeight="1" thickTop="1" thickBot="1">
      <c r="C873" s="681" t="s">
        <v>480</v>
      </c>
      <c r="D873" s="21">
        <v>2.2499697409946946</v>
      </c>
      <c r="E873" s="231" t="s">
        <v>211</v>
      </c>
      <c r="F873" s="684" t="s">
        <v>1959</v>
      </c>
      <c r="G873" s="685" t="s">
        <v>1960</v>
      </c>
    </row>
    <row r="874" spans="2:7" ht="55.5" customHeight="1" thickTop="1" thickBot="1">
      <c r="C874" s="681" t="s">
        <v>481</v>
      </c>
      <c r="D874" s="21">
        <v>6.079122866407066</v>
      </c>
      <c r="E874" s="231" t="s">
        <v>211</v>
      </c>
      <c r="F874" s="684" t="s">
        <v>1959</v>
      </c>
      <c r="G874" s="685" t="s">
        <v>1960</v>
      </c>
    </row>
    <row r="875" spans="2:7" ht="55.5" customHeight="1" thickTop="1" thickBot="1">
      <c r="C875" s="681" t="s">
        <v>482</v>
      </c>
      <c r="D875" s="21">
        <v>31.26266410003997</v>
      </c>
      <c r="E875" s="231" t="s">
        <v>211</v>
      </c>
      <c r="F875" s="684" t="s">
        <v>1959</v>
      </c>
      <c r="G875" s="685" t="s">
        <v>1960</v>
      </c>
    </row>
    <row r="876" spans="2:7" ht="55.5" customHeight="1" thickTop="1" thickBot="1">
      <c r="C876" s="681" t="s">
        <v>483</v>
      </c>
      <c r="D876" s="21">
        <v>33.891578025824423</v>
      </c>
      <c r="E876" s="231" t="s">
        <v>211</v>
      </c>
      <c r="F876" s="684" t="s">
        <v>1959</v>
      </c>
      <c r="G876" s="685" t="s">
        <v>1960</v>
      </c>
    </row>
    <row r="877" spans="2:7" ht="55.5" customHeight="1" thickTop="1" thickBot="1">
      <c r="C877" s="681" t="s">
        <v>484</v>
      </c>
      <c r="D877" s="21">
        <v>37.747606151236781</v>
      </c>
      <c r="E877" s="231" t="s">
        <v>211</v>
      </c>
      <c r="F877" s="684" t="s">
        <v>1959</v>
      </c>
      <c r="G877" s="685" t="s">
        <v>1960</v>
      </c>
    </row>
    <row r="878" spans="2:7" ht="55.5" customHeight="1" thickTop="1" thickBot="1">
      <c r="C878" s="681" t="s">
        <v>1963</v>
      </c>
      <c r="D878" s="21">
        <v>62.958022384869679</v>
      </c>
      <c r="E878" s="231" t="s">
        <v>211</v>
      </c>
      <c r="F878" s="684" t="s">
        <v>1959</v>
      </c>
      <c r="G878" s="685" t="s">
        <v>1960</v>
      </c>
    </row>
    <row r="879" spans="2:7" ht="55.5" customHeight="1" thickTop="1" thickBot="1">
      <c r="C879" s="681" t="s">
        <v>479</v>
      </c>
      <c r="D879" s="21">
        <v>6.3216364076613614</v>
      </c>
      <c r="E879" s="231" t="s">
        <v>211</v>
      </c>
      <c r="F879" s="684" t="s">
        <v>1959</v>
      </c>
      <c r="G879" s="685" t="s">
        <v>1960</v>
      </c>
    </row>
    <row r="880" spans="2:7" ht="55.5" customHeight="1" thickTop="1" thickBot="1">
      <c r="C880" s="681" t="s">
        <v>1964</v>
      </c>
      <c r="D880" s="21">
        <v>10.177664533073733</v>
      </c>
      <c r="E880" s="231" t="s">
        <v>211</v>
      </c>
      <c r="F880" s="684" t="s">
        <v>1959</v>
      </c>
      <c r="G880" s="685" t="s">
        <v>1960</v>
      </c>
    </row>
    <row r="881" spans="2:7" ht="55.5" customHeight="1" thickTop="1" thickBot="1">
      <c r="C881" s="681" t="s">
        <v>1965</v>
      </c>
      <c r="D881" s="21">
        <v>35.388080766706643</v>
      </c>
      <c r="E881" s="231" t="s">
        <v>211</v>
      </c>
      <c r="F881" s="684" t="s">
        <v>1959</v>
      </c>
      <c r="G881" s="685" t="s">
        <v>1960</v>
      </c>
    </row>
    <row r="882" spans="2:7" ht="55.5" customHeight="1" thickTop="1" thickBot="1">
      <c r="C882" s="681" t="s">
        <v>1966</v>
      </c>
      <c r="D882" s="21">
        <v>13.355998967123895</v>
      </c>
      <c r="E882" s="231" t="s">
        <v>211</v>
      </c>
      <c r="F882" s="684" t="s">
        <v>1959</v>
      </c>
      <c r="G882" s="685" t="s">
        <v>1960</v>
      </c>
    </row>
    <row r="883" spans="2:7" ht="55.5" customHeight="1" thickTop="1" thickBot="1">
      <c r="C883" s="681" t="s">
        <v>1967</v>
      </c>
      <c r="D883" s="21">
        <v>23.552906380322558</v>
      </c>
      <c r="E883" s="231" t="s">
        <v>211</v>
      </c>
      <c r="F883" s="684" t="s">
        <v>1959</v>
      </c>
      <c r="G883" s="685" t="s">
        <v>1960</v>
      </c>
    </row>
    <row r="884" spans="2:7" ht="55.5" customHeight="1" thickTop="1" thickBot="1">
      <c r="C884" s="681" t="s">
        <v>1968</v>
      </c>
      <c r="D884" s="21">
        <v>60.91409510127653</v>
      </c>
      <c r="E884" s="231" t="s">
        <v>211</v>
      </c>
      <c r="F884" s="684" t="s">
        <v>1959</v>
      </c>
      <c r="G884" s="685" t="s">
        <v>1960</v>
      </c>
    </row>
    <row r="885" spans="2:7" ht="55.5" customHeight="1" thickTop="1" thickBot="1">
      <c r="C885" s="681" t="s">
        <v>1969</v>
      </c>
      <c r="D885" s="21">
        <v>37.480720583656847</v>
      </c>
      <c r="E885" s="231" t="s">
        <v>211</v>
      </c>
      <c r="F885" s="684" t="s">
        <v>1959</v>
      </c>
      <c r="G885" s="685" t="s">
        <v>1960</v>
      </c>
    </row>
    <row r="886" spans="2:7" ht="55.5" customHeight="1" thickTop="1" thickBot="1">
      <c r="C886" s="681" t="s">
        <v>732</v>
      </c>
      <c r="D886" s="21">
        <v>39.203558238370142</v>
      </c>
      <c r="E886" s="231" t="s">
        <v>211</v>
      </c>
      <c r="F886" s="684" t="s">
        <v>1959</v>
      </c>
      <c r="G886" s="685" t="s">
        <v>1960</v>
      </c>
    </row>
    <row r="887" spans="2:7" ht="55.5" customHeight="1" thickTop="1" thickBot="1">
      <c r="C887" s="681" t="s">
        <v>1970</v>
      </c>
      <c r="D887" s="21">
        <v>44.910219938977718</v>
      </c>
      <c r="E887" s="231" t="s">
        <v>211</v>
      </c>
      <c r="F887" s="684" t="s">
        <v>1959</v>
      </c>
      <c r="G887" s="685" t="s">
        <v>1960</v>
      </c>
    </row>
    <row r="888" spans="2:7" ht="55.5" customHeight="1" thickTop="1" thickBot="1">
      <c r="C888" s="681" t="s">
        <v>1971</v>
      </c>
      <c r="D888" s="21">
        <v>9.9107789654937921</v>
      </c>
      <c r="E888" s="231" t="s">
        <v>211</v>
      </c>
      <c r="F888" s="684" t="s">
        <v>1959</v>
      </c>
      <c r="G888" s="685" t="s">
        <v>1960</v>
      </c>
    </row>
    <row r="889" spans="2:7" ht="55.5" customHeight="1" thickTop="1" thickBot="1">
      <c r="C889" s="681" t="s">
        <v>733</v>
      </c>
      <c r="D889" s="21">
        <v>11.633616620207082</v>
      </c>
      <c r="E889" s="231" t="s">
        <v>211</v>
      </c>
      <c r="F889" s="684" t="s">
        <v>1959</v>
      </c>
      <c r="G889" s="685" t="s">
        <v>1960</v>
      </c>
    </row>
    <row r="890" spans="2:7" ht="55.5" customHeight="1" thickTop="1" thickBot="1">
      <c r="C890" s="681" t="s">
        <v>1972</v>
      </c>
      <c r="D890" s="21">
        <v>17.340278320814665</v>
      </c>
      <c r="E890" s="231" t="s">
        <v>211</v>
      </c>
      <c r="F890" s="684" t="s">
        <v>1959</v>
      </c>
      <c r="G890" s="685" t="s">
        <v>1960</v>
      </c>
    </row>
    <row r="891" spans="2:7" ht="16.5" thickTop="1" thickBot="1">
      <c r="B891" s="15" t="s">
        <v>1199</v>
      </c>
      <c r="C891" s="678" t="s">
        <v>1973</v>
      </c>
      <c r="D891" s="679"/>
      <c r="E891" s="679"/>
      <c r="F891" s="680"/>
      <c r="G891" s="680"/>
    </row>
    <row r="892" spans="2:7" ht="59.45" customHeight="1" thickBot="1">
      <c r="C892" s="681" t="s">
        <v>334</v>
      </c>
      <c r="D892" s="687">
        <v>3145.8431763333333</v>
      </c>
      <c r="E892" s="231" t="s">
        <v>299</v>
      </c>
      <c r="F892" s="684" t="s">
        <v>1974</v>
      </c>
      <c r="G892" s="685" t="s">
        <v>1975</v>
      </c>
    </row>
    <row r="893" spans="2:7" ht="59.45" customHeight="1" thickTop="1" thickBot="1">
      <c r="C893" s="681" t="s">
        <v>335</v>
      </c>
      <c r="D893" s="687">
        <v>2760.4646429999998</v>
      </c>
      <c r="E893" s="231" t="s">
        <v>299</v>
      </c>
      <c r="F893" s="684" t="s">
        <v>1976</v>
      </c>
      <c r="G893" s="685" t="s">
        <v>1975</v>
      </c>
    </row>
    <row r="894" spans="2:7" ht="59.45" customHeight="1" thickTop="1" thickBot="1">
      <c r="C894" s="681" t="s">
        <v>336</v>
      </c>
      <c r="D894" s="687">
        <v>4558.1905333333334</v>
      </c>
      <c r="E894" s="231" t="s">
        <v>299</v>
      </c>
      <c r="F894" s="684" t="s">
        <v>1977</v>
      </c>
      <c r="G894" s="685" t="s">
        <v>1975</v>
      </c>
    </row>
    <row r="895" spans="2:7" ht="59.45" customHeight="1" thickTop="1" thickBot="1">
      <c r="C895" s="681" t="s">
        <v>337</v>
      </c>
      <c r="D895" s="688">
        <v>4172.8119999999999</v>
      </c>
      <c r="E895" s="231" t="s">
        <v>299</v>
      </c>
      <c r="F895" s="684" t="s">
        <v>1978</v>
      </c>
      <c r="G895" s="685" t="s">
        <v>1975</v>
      </c>
    </row>
    <row r="896" spans="2:7" ht="59.45" customHeight="1" thickTop="1" thickBot="1">
      <c r="C896" s="681" t="s">
        <v>338</v>
      </c>
      <c r="D896" s="688">
        <v>1295.5612666666668</v>
      </c>
      <c r="E896" s="231" t="s">
        <v>299</v>
      </c>
      <c r="F896" s="684" t="s">
        <v>1979</v>
      </c>
      <c r="G896" s="685" t="s">
        <v>1975</v>
      </c>
    </row>
    <row r="897" spans="2:7" ht="59.45" customHeight="1" thickTop="1" thickBot="1">
      <c r="C897" s="681" t="s">
        <v>339</v>
      </c>
      <c r="D897" s="688">
        <v>2086.3507666666669</v>
      </c>
      <c r="E897" s="231" t="s">
        <v>299</v>
      </c>
      <c r="F897" s="684" t="s">
        <v>1980</v>
      </c>
      <c r="G897" s="685" t="s">
        <v>1975</v>
      </c>
    </row>
    <row r="898" spans="2:7" ht="70.5" customHeight="1" thickTop="1" thickBot="1">
      <c r="C898" s="681" t="s">
        <v>562</v>
      </c>
      <c r="D898" s="688">
        <v>5864.4153632500002</v>
      </c>
      <c r="E898" s="231" t="s">
        <v>299</v>
      </c>
      <c r="F898" s="684" t="s">
        <v>1981</v>
      </c>
      <c r="G898" s="685" t="s">
        <v>1982</v>
      </c>
    </row>
    <row r="899" spans="2:7" ht="74.099999999999994" customHeight="1" thickTop="1" thickBot="1">
      <c r="C899" s="681" t="s">
        <v>561</v>
      </c>
      <c r="D899" s="24">
        <v>16411.125</v>
      </c>
      <c r="E899" s="231" t="s">
        <v>299</v>
      </c>
      <c r="F899" s="684" t="s">
        <v>1983</v>
      </c>
      <c r="G899" s="685" t="s">
        <v>1982</v>
      </c>
    </row>
    <row r="900" spans="2:7" ht="74.099999999999994" customHeight="1" thickTop="1" thickBot="1">
      <c r="C900" s="681" t="s">
        <v>1984</v>
      </c>
      <c r="D900" s="24">
        <v>22253.515363249997</v>
      </c>
      <c r="E900" s="231" t="s">
        <v>299</v>
      </c>
      <c r="F900" s="684" t="s">
        <v>1985</v>
      </c>
      <c r="G900" s="685" t="s">
        <v>1986</v>
      </c>
    </row>
    <row r="901" spans="2:7" ht="74.099999999999994" customHeight="1" thickTop="1" thickBot="1">
      <c r="C901" s="681" t="s">
        <v>1987</v>
      </c>
      <c r="D901" s="24">
        <v>32800.224999999999</v>
      </c>
      <c r="E901" s="231" t="s">
        <v>299</v>
      </c>
      <c r="F901" s="684" t="s">
        <v>1988</v>
      </c>
      <c r="G901" s="685" t="s">
        <v>1986</v>
      </c>
    </row>
    <row r="902" spans="2:7" ht="74.099999999999994" customHeight="1" thickTop="1" thickBot="1">
      <c r="C902" s="681" t="s">
        <v>1989</v>
      </c>
      <c r="D902" s="24">
        <v>35726.524968513164</v>
      </c>
      <c r="E902" s="231" t="s">
        <v>299</v>
      </c>
      <c r="F902" s="684" t="s">
        <v>1990</v>
      </c>
      <c r="G902" s="685" t="s">
        <v>1991</v>
      </c>
    </row>
    <row r="903" spans="2:7" ht="74.099999999999994" customHeight="1" thickTop="1" thickBot="1">
      <c r="C903" s="681" t="s">
        <v>1992</v>
      </c>
      <c r="D903" s="24">
        <v>46273.234605263162</v>
      </c>
      <c r="E903" s="231" t="s">
        <v>299</v>
      </c>
      <c r="F903" s="684" t="s">
        <v>1993</v>
      </c>
      <c r="G903" s="685" t="s">
        <v>1991</v>
      </c>
    </row>
    <row r="904" spans="2:7" ht="74.099999999999994" customHeight="1" thickTop="1" thickBot="1">
      <c r="C904" s="681" t="s">
        <v>340</v>
      </c>
      <c r="D904" s="24">
        <v>47734.652863250005</v>
      </c>
      <c r="E904" s="231" t="s">
        <v>299</v>
      </c>
      <c r="F904" s="684" t="s">
        <v>1994</v>
      </c>
      <c r="G904" s="685" t="s">
        <v>1995</v>
      </c>
    </row>
    <row r="905" spans="2:7" ht="74.099999999999994" customHeight="1" thickTop="1" thickBot="1">
      <c r="C905" s="681" t="s">
        <v>341</v>
      </c>
      <c r="D905" s="24">
        <v>59084.652863250005</v>
      </c>
      <c r="E905" s="231" t="s">
        <v>299</v>
      </c>
      <c r="F905" s="684" t="s">
        <v>1996</v>
      </c>
      <c r="G905" s="685" t="s">
        <v>1995</v>
      </c>
    </row>
    <row r="906" spans="2:7" ht="16.5" thickTop="1" thickBot="1">
      <c r="B906" s="15" t="s">
        <v>1199</v>
      </c>
      <c r="C906" s="678" t="s">
        <v>1997</v>
      </c>
      <c r="D906" s="679"/>
      <c r="E906" s="679"/>
      <c r="F906" s="680"/>
      <c r="G906" s="680"/>
    </row>
    <row r="907" spans="2:7" ht="15.75" thickBot="1">
      <c r="C907" s="681" t="s">
        <v>358</v>
      </c>
      <c r="D907" s="688">
        <v>539.45026666666672</v>
      </c>
      <c r="E907" s="231" t="s">
        <v>299</v>
      </c>
      <c r="F907" s="685" t="s">
        <v>1998</v>
      </c>
      <c r="G907" s="685" t="s">
        <v>1975</v>
      </c>
    </row>
    <row r="908" spans="2:7" ht="16.5" thickTop="1" thickBot="1">
      <c r="C908" s="681" t="s">
        <v>359</v>
      </c>
      <c r="D908" s="688">
        <v>265.67200000000003</v>
      </c>
      <c r="E908" s="231" t="s">
        <v>299</v>
      </c>
      <c r="F908" s="685" t="s">
        <v>1998</v>
      </c>
      <c r="G908" s="685" t="s">
        <v>1975</v>
      </c>
    </row>
    <row r="909" spans="2:7" ht="16.5" thickTop="1" thickBot="1">
      <c r="C909" s="681" t="s">
        <v>360</v>
      </c>
      <c r="D909" s="688">
        <v>539.45026666666672</v>
      </c>
      <c r="E909" s="231" t="s">
        <v>299</v>
      </c>
      <c r="F909" s="685" t="s">
        <v>1998</v>
      </c>
      <c r="G909" s="685" t="s">
        <v>1975</v>
      </c>
    </row>
    <row r="910" spans="2:7" ht="16.5" thickTop="1" thickBot="1">
      <c r="C910" s="681" t="s">
        <v>361</v>
      </c>
      <c r="D910" s="688">
        <v>265.67200000000003</v>
      </c>
      <c r="E910" s="231" t="s">
        <v>299</v>
      </c>
      <c r="F910" s="685" t="s">
        <v>1998</v>
      </c>
      <c r="G910" s="685" t="s">
        <v>1975</v>
      </c>
    </row>
    <row r="911" spans="2:7" ht="16.5" thickTop="1" thickBot="1">
      <c r="C911" s="681" t="s">
        <v>362</v>
      </c>
      <c r="D911" s="688">
        <v>218.42099999999999</v>
      </c>
      <c r="E911" s="231" t="s">
        <v>299</v>
      </c>
      <c r="F911" s="685" t="s">
        <v>1998</v>
      </c>
      <c r="G911" s="685" t="s">
        <v>1975</v>
      </c>
    </row>
    <row r="912" spans="2:7" ht="16.5" thickTop="1" thickBot="1">
      <c r="C912" s="681" t="s">
        <v>363</v>
      </c>
      <c r="D912" s="688">
        <v>634.21050000000002</v>
      </c>
      <c r="E912" s="231" t="s">
        <v>299</v>
      </c>
      <c r="F912" s="685" t="s">
        <v>1998</v>
      </c>
      <c r="G912" s="685" t="s">
        <v>1975</v>
      </c>
    </row>
    <row r="913" spans="3:7" ht="16.5" thickTop="1" thickBot="1">
      <c r="C913" s="681" t="s">
        <v>664</v>
      </c>
      <c r="D913" s="688">
        <v>3960</v>
      </c>
      <c r="E913" s="231" t="s">
        <v>299</v>
      </c>
      <c r="F913" s="685" t="s">
        <v>1998</v>
      </c>
      <c r="G913" s="685" t="s">
        <v>1975</v>
      </c>
    </row>
    <row r="914" spans="3:7" ht="16.5" thickTop="1" thickBot="1">
      <c r="C914" s="681" t="s">
        <v>665</v>
      </c>
      <c r="D914" s="688">
        <v>3960</v>
      </c>
      <c r="E914" s="231" t="s">
        <v>299</v>
      </c>
      <c r="F914" s="685" t="s">
        <v>1998</v>
      </c>
      <c r="G914" s="685" t="s">
        <v>1975</v>
      </c>
    </row>
    <row r="915" spans="3:7" ht="16.5" thickTop="1" thickBot="1">
      <c r="C915" s="681" t="s">
        <v>1999</v>
      </c>
      <c r="D915" s="688">
        <v>20500</v>
      </c>
      <c r="E915" s="231" t="s">
        <v>299</v>
      </c>
      <c r="F915" s="685" t="s">
        <v>1998</v>
      </c>
      <c r="G915" s="685" t="s">
        <v>1975</v>
      </c>
    </row>
    <row r="916" spans="3:7" ht="16.5" thickTop="1" thickBot="1">
      <c r="C916" s="681" t="s">
        <v>2000</v>
      </c>
      <c r="D916" s="688">
        <v>20500</v>
      </c>
      <c r="E916" s="231" t="s">
        <v>299</v>
      </c>
      <c r="F916" s="685" t="s">
        <v>1998</v>
      </c>
      <c r="G916" s="685" t="s">
        <v>1975</v>
      </c>
    </row>
    <row r="917" spans="3:7" ht="16.5" thickTop="1" thickBot="1">
      <c r="C917" s="681" t="s">
        <v>2001</v>
      </c>
      <c r="D917" s="688">
        <v>33986.84210526316</v>
      </c>
      <c r="E917" s="231" t="s">
        <v>299</v>
      </c>
      <c r="F917" s="685" t="s">
        <v>1998</v>
      </c>
      <c r="G917" s="685" t="s">
        <v>1975</v>
      </c>
    </row>
    <row r="918" spans="3:7" ht="16.5" thickTop="1" thickBot="1">
      <c r="C918" s="681" t="s">
        <v>2002</v>
      </c>
      <c r="D918" s="688">
        <v>33986.84210526316</v>
      </c>
      <c r="E918" s="231" t="s">
        <v>299</v>
      </c>
      <c r="F918" s="685" t="s">
        <v>1998</v>
      </c>
      <c r="G918" s="685" t="s">
        <v>1975</v>
      </c>
    </row>
    <row r="919" spans="3:7" ht="16.5" thickTop="1" thickBot="1">
      <c r="C919" s="681" t="s">
        <v>364</v>
      </c>
      <c r="D919" s="688">
        <v>46000</v>
      </c>
      <c r="E919" s="231" t="s">
        <v>299</v>
      </c>
      <c r="F919" s="685" t="s">
        <v>1998</v>
      </c>
      <c r="G919" s="685" t="s">
        <v>1975</v>
      </c>
    </row>
    <row r="920" spans="3:7" ht="16.5" thickTop="1" thickBot="1">
      <c r="C920" s="681" t="s">
        <v>365</v>
      </c>
      <c r="D920" s="688">
        <v>46000</v>
      </c>
      <c r="E920" s="231" t="s">
        <v>299</v>
      </c>
      <c r="F920" s="685" t="s">
        <v>1998</v>
      </c>
      <c r="G920" s="685" t="s">
        <v>1975</v>
      </c>
    </row>
    <row r="921" spans="3:7" ht="16.5" thickTop="1" thickBot="1">
      <c r="C921" s="681" t="s">
        <v>368</v>
      </c>
      <c r="D921" s="688">
        <v>337.65264299999996</v>
      </c>
      <c r="E921" s="231" t="s">
        <v>299</v>
      </c>
      <c r="F921" s="684" t="s">
        <v>2003</v>
      </c>
      <c r="G921" s="685" t="s">
        <v>1975</v>
      </c>
    </row>
    <row r="922" spans="3:7" ht="16.5" thickTop="1" thickBot="1">
      <c r="C922" s="681" t="s">
        <v>369</v>
      </c>
      <c r="D922" s="688">
        <v>337.65264299999996</v>
      </c>
      <c r="E922" s="231" t="s">
        <v>299</v>
      </c>
      <c r="F922" s="684" t="s">
        <v>2003</v>
      </c>
      <c r="G922" s="685" t="s">
        <v>1975</v>
      </c>
    </row>
    <row r="923" spans="3:7" ht="16.5" thickTop="1" thickBot="1">
      <c r="C923" s="681" t="s">
        <v>370</v>
      </c>
      <c r="D923" s="688">
        <v>50</v>
      </c>
      <c r="E923" s="231" t="s">
        <v>299</v>
      </c>
      <c r="F923" s="684" t="s">
        <v>2004</v>
      </c>
      <c r="G923" s="685" t="s">
        <v>1975</v>
      </c>
    </row>
    <row r="924" spans="3:7" ht="16.5" thickTop="1" thickBot="1">
      <c r="C924" s="681" t="s">
        <v>371</v>
      </c>
      <c r="D924" s="688">
        <v>50</v>
      </c>
      <c r="E924" s="231" t="s">
        <v>299</v>
      </c>
      <c r="F924" s="684" t="s">
        <v>2004</v>
      </c>
      <c r="G924" s="685" t="s">
        <v>1975</v>
      </c>
    </row>
    <row r="925" spans="3:7" ht="16.5" thickTop="1" thickBot="1">
      <c r="C925" s="681" t="s">
        <v>372</v>
      </c>
      <c r="D925" s="688">
        <v>50</v>
      </c>
      <c r="E925" s="231" t="s">
        <v>299</v>
      </c>
      <c r="F925" s="684" t="s">
        <v>2004</v>
      </c>
      <c r="G925" s="685" t="s">
        <v>1975</v>
      </c>
    </row>
    <row r="926" spans="3:7" ht="16.5" thickTop="1" thickBot="1">
      <c r="C926" s="681" t="s">
        <v>373</v>
      </c>
      <c r="D926" s="688">
        <v>50</v>
      </c>
      <c r="E926" s="231" t="s">
        <v>299</v>
      </c>
      <c r="F926" s="684" t="s">
        <v>2004</v>
      </c>
      <c r="G926" s="685" t="s">
        <v>1975</v>
      </c>
    </row>
    <row r="927" spans="3:7" ht="16.5" thickTop="1" thickBot="1">
      <c r="C927" s="681" t="s">
        <v>666</v>
      </c>
      <c r="D927" s="688">
        <v>365.79036324999993</v>
      </c>
      <c r="E927" s="231" t="s">
        <v>299</v>
      </c>
      <c r="F927" s="684" t="s">
        <v>2005</v>
      </c>
      <c r="G927" s="685" t="s">
        <v>1975</v>
      </c>
    </row>
    <row r="928" spans="3:7" ht="16.5" thickTop="1" thickBot="1">
      <c r="C928" s="681" t="s">
        <v>667</v>
      </c>
      <c r="D928" s="688">
        <v>162.5</v>
      </c>
      <c r="E928" s="231" t="s">
        <v>299</v>
      </c>
      <c r="F928" s="684" t="s">
        <v>2005</v>
      </c>
      <c r="G928" s="685" t="s">
        <v>1975</v>
      </c>
    </row>
    <row r="929" spans="3:7" ht="16.5" thickTop="1" thickBot="1">
      <c r="C929" s="681" t="s">
        <v>2006</v>
      </c>
      <c r="D929" s="688">
        <v>365.79036324999993</v>
      </c>
      <c r="E929" s="231" t="s">
        <v>299</v>
      </c>
      <c r="F929" s="684" t="s">
        <v>2005</v>
      </c>
      <c r="G929" s="685" t="s">
        <v>1975</v>
      </c>
    </row>
    <row r="930" spans="3:7" ht="16.5" thickTop="1" thickBot="1">
      <c r="C930" s="681" t="s">
        <v>2007</v>
      </c>
      <c r="D930" s="688">
        <v>162.5</v>
      </c>
      <c r="E930" s="231" t="s">
        <v>299</v>
      </c>
      <c r="F930" s="684" t="s">
        <v>2005</v>
      </c>
      <c r="G930" s="685" t="s">
        <v>1975</v>
      </c>
    </row>
    <row r="931" spans="3:7" ht="16.5" thickTop="1" thickBot="1">
      <c r="C931" s="681" t="s">
        <v>2008</v>
      </c>
      <c r="D931" s="688">
        <v>365.79036324999993</v>
      </c>
      <c r="E931" s="231" t="s">
        <v>299</v>
      </c>
      <c r="F931" s="684" t="s">
        <v>2005</v>
      </c>
      <c r="G931" s="685" t="s">
        <v>1975</v>
      </c>
    </row>
    <row r="932" spans="3:7" ht="16.5" thickTop="1" thickBot="1">
      <c r="C932" s="681" t="s">
        <v>2009</v>
      </c>
      <c r="D932" s="688">
        <v>162.5</v>
      </c>
      <c r="E932" s="231" t="s">
        <v>299</v>
      </c>
      <c r="F932" s="684" t="s">
        <v>2005</v>
      </c>
      <c r="G932" s="685" t="s">
        <v>1975</v>
      </c>
    </row>
    <row r="933" spans="3:7" ht="16.5" thickTop="1" thickBot="1">
      <c r="C933" s="681" t="s">
        <v>374</v>
      </c>
      <c r="D933" s="688">
        <v>365.79036324999993</v>
      </c>
      <c r="E933" s="231" t="s">
        <v>299</v>
      </c>
      <c r="F933" s="684" t="s">
        <v>2005</v>
      </c>
      <c r="G933" s="685" t="s">
        <v>1975</v>
      </c>
    </row>
    <row r="934" spans="3:7" ht="16.5" thickTop="1" thickBot="1">
      <c r="C934" s="681" t="s">
        <v>375</v>
      </c>
      <c r="D934" s="688">
        <v>365.79036324999993</v>
      </c>
      <c r="E934" s="231" t="s">
        <v>299</v>
      </c>
      <c r="F934" s="684" t="s">
        <v>2005</v>
      </c>
      <c r="G934" s="685" t="s">
        <v>1975</v>
      </c>
    </row>
    <row r="935" spans="3:7" ht="16.5" thickTop="1" thickBot="1">
      <c r="C935" s="681" t="s">
        <v>377</v>
      </c>
      <c r="D935" s="688">
        <v>151.0736</v>
      </c>
      <c r="E935" s="231" t="s">
        <v>299</v>
      </c>
      <c r="F935" s="684" t="s">
        <v>2010</v>
      </c>
      <c r="G935" s="685" t="s">
        <v>1975</v>
      </c>
    </row>
    <row r="936" spans="3:7" ht="16.5" thickTop="1" thickBot="1">
      <c r="C936" s="681" t="s">
        <v>378</v>
      </c>
      <c r="D936" s="688">
        <v>39.473333333333336</v>
      </c>
      <c r="E936" s="231" t="s">
        <v>299</v>
      </c>
      <c r="F936" s="684" t="s">
        <v>2010</v>
      </c>
      <c r="G936" s="685" t="s">
        <v>1975</v>
      </c>
    </row>
    <row r="937" spans="3:7" ht="16.5" thickTop="1" thickBot="1">
      <c r="C937" s="681" t="s">
        <v>379</v>
      </c>
      <c r="D937" s="688">
        <v>151.0736</v>
      </c>
      <c r="E937" s="231" t="s">
        <v>299</v>
      </c>
      <c r="F937" s="684" t="s">
        <v>2011</v>
      </c>
      <c r="G937" s="685" t="s">
        <v>1975</v>
      </c>
    </row>
    <row r="938" spans="3:7" ht="16.5" thickTop="1" thickBot="1">
      <c r="C938" s="681" t="s">
        <v>380</v>
      </c>
      <c r="D938" s="688">
        <v>39.473333333333336</v>
      </c>
      <c r="E938" s="231" t="s">
        <v>299</v>
      </c>
      <c r="F938" s="684" t="s">
        <v>2011</v>
      </c>
      <c r="G938" s="685" t="s">
        <v>1975</v>
      </c>
    </row>
    <row r="939" spans="3:7" ht="16.5" thickTop="1" thickBot="1">
      <c r="C939" s="681" t="s">
        <v>381</v>
      </c>
      <c r="D939" s="688">
        <v>9.4736000000000011</v>
      </c>
      <c r="E939" s="231" t="s">
        <v>299</v>
      </c>
      <c r="F939" s="684" t="s">
        <v>2011</v>
      </c>
      <c r="G939" s="685" t="s">
        <v>1975</v>
      </c>
    </row>
    <row r="940" spans="3:7" ht="16.5" thickTop="1" thickBot="1">
      <c r="C940" s="681" t="s">
        <v>382</v>
      </c>
      <c r="D940" s="688">
        <v>9.4736000000000011</v>
      </c>
      <c r="E940" s="231" t="s">
        <v>299</v>
      </c>
      <c r="F940" s="684" t="s">
        <v>2011</v>
      </c>
      <c r="G940" s="685" t="s">
        <v>1975</v>
      </c>
    </row>
    <row r="941" spans="3:7" ht="16.5" thickTop="1" thickBot="1">
      <c r="C941" s="681" t="s">
        <v>668</v>
      </c>
      <c r="D941" s="688">
        <v>0</v>
      </c>
      <c r="E941" s="231" t="s">
        <v>299</v>
      </c>
      <c r="F941" s="684" t="s">
        <v>2005</v>
      </c>
      <c r="G941" s="685" t="s">
        <v>1975</v>
      </c>
    </row>
    <row r="942" spans="3:7" ht="16.5" thickTop="1" thickBot="1">
      <c r="C942" s="681" t="s">
        <v>669</v>
      </c>
      <c r="D942" s="688">
        <v>0</v>
      </c>
      <c r="E942" s="231" t="s">
        <v>299</v>
      </c>
      <c r="F942" s="684" t="s">
        <v>2005</v>
      </c>
      <c r="G942" s="685" t="s">
        <v>1975</v>
      </c>
    </row>
    <row r="943" spans="3:7" ht="16.5" thickTop="1" thickBot="1">
      <c r="C943" s="681" t="s">
        <v>2012</v>
      </c>
      <c r="D943" s="688">
        <v>0</v>
      </c>
      <c r="E943" s="231" t="s">
        <v>299</v>
      </c>
      <c r="F943" s="684" t="s">
        <v>2005</v>
      </c>
      <c r="G943" s="685" t="s">
        <v>1975</v>
      </c>
    </row>
    <row r="944" spans="3:7" ht="16.5" thickTop="1" thickBot="1">
      <c r="C944" s="681" t="s">
        <v>2013</v>
      </c>
      <c r="D944" s="688">
        <v>0</v>
      </c>
      <c r="E944" s="231" t="s">
        <v>299</v>
      </c>
      <c r="F944" s="684" t="s">
        <v>2005</v>
      </c>
      <c r="G944" s="685" t="s">
        <v>1975</v>
      </c>
    </row>
    <row r="945" spans="3:7" ht="16.5" thickTop="1" thickBot="1">
      <c r="C945" s="681" t="s">
        <v>2014</v>
      </c>
      <c r="D945" s="688">
        <v>0</v>
      </c>
      <c r="E945" s="231" t="s">
        <v>299</v>
      </c>
      <c r="F945" s="684" t="s">
        <v>2005</v>
      </c>
      <c r="G945" s="685" t="s">
        <v>1975</v>
      </c>
    </row>
    <row r="946" spans="3:7" ht="16.5" thickTop="1" thickBot="1">
      <c r="C946" s="681" t="s">
        <v>2015</v>
      </c>
      <c r="D946" s="688">
        <v>0</v>
      </c>
      <c r="E946" s="231" t="s">
        <v>299</v>
      </c>
      <c r="F946" s="684" t="s">
        <v>2005</v>
      </c>
      <c r="G946" s="685" t="s">
        <v>1975</v>
      </c>
    </row>
    <row r="947" spans="3:7" ht="16.5" thickTop="1" thickBot="1">
      <c r="C947" s="681" t="s">
        <v>383</v>
      </c>
      <c r="D947" s="688">
        <v>0</v>
      </c>
      <c r="E947" s="231" t="s">
        <v>299</v>
      </c>
      <c r="F947" s="684" t="s">
        <v>2005</v>
      </c>
      <c r="G947" s="685" t="s">
        <v>1975</v>
      </c>
    </row>
    <row r="948" spans="3:7" ht="16.5" thickTop="1" thickBot="1">
      <c r="C948" s="681" t="s">
        <v>384</v>
      </c>
      <c r="D948" s="688">
        <v>0</v>
      </c>
      <c r="E948" s="231" t="s">
        <v>299</v>
      </c>
      <c r="F948" s="684" t="s">
        <v>2005</v>
      </c>
      <c r="G948" s="685" t="s">
        <v>1975</v>
      </c>
    </row>
    <row r="949" spans="3:7" ht="16.5" thickTop="1" thickBot="1">
      <c r="C949" s="681" t="s">
        <v>387</v>
      </c>
      <c r="D949" s="688">
        <v>1200</v>
      </c>
      <c r="E949" s="231" t="s">
        <v>299</v>
      </c>
      <c r="F949" s="684" t="s">
        <v>2016</v>
      </c>
      <c r="G949" s="685" t="s">
        <v>1975</v>
      </c>
    </row>
    <row r="950" spans="3:7" ht="16.5" thickTop="1" thickBot="1">
      <c r="C950" s="681" t="s">
        <v>388</v>
      </c>
      <c r="D950" s="688">
        <v>1200</v>
      </c>
      <c r="E950" s="231" t="s">
        <v>299</v>
      </c>
      <c r="F950" s="684" t="s">
        <v>2016</v>
      </c>
      <c r="G950" s="685" t="s">
        <v>1975</v>
      </c>
    </row>
    <row r="951" spans="3:7" ht="16.5" thickTop="1" thickBot="1">
      <c r="C951" s="681" t="s">
        <v>389</v>
      </c>
      <c r="D951" s="688">
        <v>1200</v>
      </c>
      <c r="E951" s="231" t="s">
        <v>299</v>
      </c>
      <c r="F951" s="684" t="s">
        <v>2016</v>
      </c>
      <c r="G951" s="685" t="s">
        <v>1975</v>
      </c>
    </row>
    <row r="952" spans="3:7" ht="16.5" thickTop="1" thickBot="1">
      <c r="C952" s="681" t="s">
        <v>390</v>
      </c>
      <c r="D952" s="688">
        <v>1200</v>
      </c>
      <c r="E952" s="231" t="s">
        <v>299</v>
      </c>
      <c r="F952" s="684" t="s">
        <v>2016</v>
      </c>
      <c r="G952" s="685" t="s">
        <v>1975</v>
      </c>
    </row>
    <row r="953" spans="3:7" ht="16.5" thickTop="1" thickBot="1">
      <c r="C953" s="681" t="s">
        <v>391</v>
      </c>
      <c r="D953" s="688">
        <v>100</v>
      </c>
      <c r="E953" s="231" t="s">
        <v>299</v>
      </c>
      <c r="F953" s="684" t="s">
        <v>2016</v>
      </c>
      <c r="G953" s="685" t="s">
        <v>1975</v>
      </c>
    </row>
    <row r="954" spans="3:7" ht="16.5" thickTop="1" thickBot="1">
      <c r="C954" s="681" t="s">
        <v>392</v>
      </c>
      <c r="D954" s="688">
        <v>100</v>
      </c>
      <c r="E954" s="231" t="s">
        <v>299</v>
      </c>
      <c r="F954" s="684" t="s">
        <v>2016</v>
      </c>
      <c r="G954" s="685" t="s">
        <v>1975</v>
      </c>
    </row>
    <row r="955" spans="3:7" ht="16.5" thickTop="1" thickBot="1">
      <c r="C955" s="681" t="s">
        <v>827</v>
      </c>
      <c r="D955" s="688">
        <v>600</v>
      </c>
      <c r="E955" s="231" t="s">
        <v>299</v>
      </c>
      <c r="F955" s="684" t="s">
        <v>2017</v>
      </c>
      <c r="G955" s="685" t="s">
        <v>1975</v>
      </c>
    </row>
    <row r="956" spans="3:7" ht="16.5" thickTop="1" thickBot="1">
      <c r="C956" s="681" t="s">
        <v>670</v>
      </c>
      <c r="D956" s="688">
        <v>600</v>
      </c>
      <c r="E956" s="231" t="s">
        <v>299</v>
      </c>
      <c r="F956" s="684" t="s">
        <v>2017</v>
      </c>
      <c r="G956" s="685" t="s">
        <v>1975</v>
      </c>
    </row>
    <row r="957" spans="3:7" ht="16.5" thickTop="1" thickBot="1">
      <c r="C957" s="681" t="s">
        <v>2018</v>
      </c>
      <c r="D957" s="688">
        <v>600</v>
      </c>
      <c r="E957" s="231" t="s">
        <v>299</v>
      </c>
      <c r="F957" s="684" t="s">
        <v>2017</v>
      </c>
      <c r="G957" s="685" t="s">
        <v>1975</v>
      </c>
    </row>
    <row r="958" spans="3:7" ht="16.5" thickTop="1" thickBot="1">
      <c r="C958" s="681" t="s">
        <v>2019</v>
      </c>
      <c r="D958" s="688">
        <v>600</v>
      </c>
      <c r="E958" s="231" t="s">
        <v>299</v>
      </c>
      <c r="F958" s="684" t="s">
        <v>2017</v>
      </c>
      <c r="G958" s="685" t="s">
        <v>1975</v>
      </c>
    </row>
    <row r="959" spans="3:7" ht="16.5" thickTop="1" thickBot="1">
      <c r="C959" s="681" t="s">
        <v>2020</v>
      </c>
      <c r="D959" s="688">
        <v>600</v>
      </c>
      <c r="E959" s="231" t="s">
        <v>299</v>
      </c>
      <c r="F959" s="684" t="s">
        <v>2017</v>
      </c>
      <c r="G959" s="685" t="s">
        <v>1975</v>
      </c>
    </row>
    <row r="960" spans="3:7" ht="16.5" thickTop="1" thickBot="1">
      <c r="C960" s="681" t="s">
        <v>2021</v>
      </c>
      <c r="D960" s="688">
        <v>600</v>
      </c>
      <c r="E960" s="231" t="s">
        <v>299</v>
      </c>
      <c r="F960" s="684" t="s">
        <v>2017</v>
      </c>
      <c r="G960" s="685" t="s">
        <v>1975</v>
      </c>
    </row>
    <row r="961" spans="3:7" ht="16.5" thickTop="1" thickBot="1">
      <c r="C961" s="681" t="s">
        <v>393</v>
      </c>
      <c r="D961" s="688">
        <v>600</v>
      </c>
      <c r="E961" s="231" t="s">
        <v>299</v>
      </c>
      <c r="F961" s="684" t="s">
        <v>2017</v>
      </c>
      <c r="G961" s="685" t="s">
        <v>1975</v>
      </c>
    </row>
    <row r="962" spans="3:7" ht="16.5" thickTop="1" thickBot="1">
      <c r="C962" s="681" t="s">
        <v>394</v>
      </c>
      <c r="D962" s="688">
        <v>1200</v>
      </c>
      <c r="E962" s="231" t="s">
        <v>299</v>
      </c>
      <c r="F962" s="684" t="s">
        <v>2017</v>
      </c>
      <c r="G962" s="685" t="s">
        <v>1975</v>
      </c>
    </row>
    <row r="963" spans="3:7" ht="16.5" thickTop="1" thickBot="1">
      <c r="C963" s="681" t="s">
        <v>397</v>
      </c>
      <c r="D963" s="688">
        <v>167.66666666666666</v>
      </c>
      <c r="E963" s="231" t="s">
        <v>299</v>
      </c>
      <c r="F963" s="684" t="s">
        <v>2022</v>
      </c>
      <c r="G963" s="685" t="s">
        <v>1975</v>
      </c>
    </row>
    <row r="964" spans="3:7" ht="16.5" thickTop="1" thickBot="1">
      <c r="C964" s="681" t="s">
        <v>398</v>
      </c>
      <c r="D964" s="688">
        <v>167.66666666666666</v>
      </c>
      <c r="E964" s="231" t="s">
        <v>299</v>
      </c>
      <c r="F964" s="684" t="s">
        <v>2022</v>
      </c>
      <c r="G964" s="685" t="s">
        <v>1975</v>
      </c>
    </row>
    <row r="965" spans="3:7" ht="16.5" thickTop="1" thickBot="1">
      <c r="C965" s="681" t="s">
        <v>399</v>
      </c>
      <c r="D965" s="688">
        <v>167.66666666666666</v>
      </c>
      <c r="E965" s="231" t="s">
        <v>299</v>
      </c>
      <c r="F965" s="684" t="s">
        <v>2022</v>
      </c>
      <c r="G965" s="685" t="s">
        <v>1975</v>
      </c>
    </row>
    <row r="966" spans="3:7" ht="16.5" thickTop="1" thickBot="1">
      <c r="C966" s="681" t="s">
        <v>400</v>
      </c>
      <c r="D966" s="688">
        <v>167.66666666666666</v>
      </c>
      <c r="E966" s="231" t="s">
        <v>299</v>
      </c>
      <c r="F966" s="684" t="s">
        <v>2022</v>
      </c>
      <c r="G966" s="685" t="s">
        <v>1975</v>
      </c>
    </row>
    <row r="967" spans="3:7" ht="16.5" thickTop="1" thickBot="1">
      <c r="C967" s="681" t="s">
        <v>401</v>
      </c>
      <c r="D967" s="688">
        <v>167.66666666666666</v>
      </c>
      <c r="E967" s="231" t="s">
        <v>299</v>
      </c>
      <c r="F967" s="684" t="s">
        <v>2022</v>
      </c>
      <c r="G967" s="685" t="s">
        <v>1975</v>
      </c>
    </row>
    <row r="968" spans="3:7" ht="16.5" thickTop="1" thickBot="1">
      <c r="C968" s="681" t="s">
        <v>402</v>
      </c>
      <c r="D968" s="688">
        <v>167.66666666666666</v>
      </c>
      <c r="E968" s="231" t="s">
        <v>299</v>
      </c>
      <c r="F968" s="684" t="s">
        <v>2022</v>
      </c>
      <c r="G968" s="685" t="s">
        <v>1975</v>
      </c>
    </row>
    <row r="969" spans="3:7" ht="16.5" thickTop="1" thickBot="1">
      <c r="C969" s="681" t="s">
        <v>671</v>
      </c>
      <c r="D969" s="688">
        <v>188.625</v>
      </c>
      <c r="E969" s="231" t="s">
        <v>299</v>
      </c>
      <c r="F969" s="684" t="s">
        <v>2017</v>
      </c>
      <c r="G969" s="685" t="s">
        <v>1975</v>
      </c>
    </row>
    <row r="970" spans="3:7" ht="16.5" thickTop="1" thickBot="1">
      <c r="C970" s="681" t="s">
        <v>672</v>
      </c>
      <c r="D970" s="688">
        <v>188.625</v>
      </c>
      <c r="E970" s="231" t="s">
        <v>299</v>
      </c>
      <c r="F970" s="684" t="s">
        <v>2017</v>
      </c>
      <c r="G970" s="685" t="s">
        <v>1975</v>
      </c>
    </row>
    <row r="971" spans="3:7" ht="16.5" thickTop="1" thickBot="1">
      <c r="C971" s="681" t="s">
        <v>2023</v>
      </c>
      <c r="D971" s="688">
        <v>37.725000000000001</v>
      </c>
      <c r="E971" s="231" t="s">
        <v>299</v>
      </c>
      <c r="F971" s="684" t="s">
        <v>2017</v>
      </c>
      <c r="G971" s="685" t="s">
        <v>1975</v>
      </c>
    </row>
    <row r="972" spans="3:7" ht="16.5" thickTop="1" thickBot="1">
      <c r="C972" s="681" t="s">
        <v>2024</v>
      </c>
      <c r="D972" s="688">
        <v>37.725000000000001</v>
      </c>
      <c r="E972" s="231" t="s">
        <v>299</v>
      </c>
      <c r="F972" s="684" t="s">
        <v>2017</v>
      </c>
      <c r="G972" s="685" t="s">
        <v>1975</v>
      </c>
    </row>
    <row r="973" spans="3:7" ht="16.5" thickTop="1" thickBot="1">
      <c r="C973" s="681" t="s">
        <v>2025</v>
      </c>
      <c r="D973" s="688">
        <v>23.892499999999998</v>
      </c>
      <c r="E973" s="231" t="s">
        <v>299</v>
      </c>
      <c r="F973" s="684" t="s">
        <v>2017</v>
      </c>
      <c r="G973" s="685" t="s">
        <v>1975</v>
      </c>
    </row>
    <row r="974" spans="3:7" ht="16.5" thickTop="1" thickBot="1">
      <c r="C974" s="681" t="s">
        <v>2026</v>
      </c>
      <c r="D974" s="688">
        <v>23.892499999999998</v>
      </c>
      <c r="E974" s="231" t="s">
        <v>299</v>
      </c>
      <c r="F974" s="684" t="s">
        <v>2017</v>
      </c>
      <c r="G974" s="685" t="s">
        <v>1975</v>
      </c>
    </row>
    <row r="975" spans="3:7" ht="16.5" thickTop="1" thickBot="1">
      <c r="C975" s="681" t="s">
        <v>403</v>
      </c>
      <c r="D975" s="688">
        <v>18.862500000000001</v>
      </c>
      <c r="E975" s="231" t="s">
        <v>299</v>
      </c>
      <c r="F975" s="684" t="s">
        <v>2017</v>
      </c>
      <c r="G975" s="685" t="s">
        <v>1975</v>
      </c>
    </row>
    <row r="976" spans="3:7" ht="16.5" thickTop="1" thickBot="1">
      <c r="C976" s="681" t="s">
        <v>404</v>
      </c>
      <c r="D976" s="688">
        <v>18.862500000000001</v>
      </c>
      <c r="E976" s="231" t="s">
        <v>299</v>
      </c>
      <c r="F976" s="684" t="s">
        <v>2017</v>
      </c>
      <c r="G976" s="685" t="s">
        <v>1975</v>
      </c>
    </row>
    <row r="977" spans="2:7" ht="16.5" thickTop="1" thickBot="1">
      <c r="B977" s="15" t="s">
        <v>1199</v>
      </c>
      <c r="C977" s="678" t="s">
        <v>2027</v>
      </c>
      <c r="D977" s="679"/>
      <c r="E977" s="679"/>
      <c r="F977" s="680"/>
      <c r="G977" s="680"/>
    </row>
    <row r="978" spans="2:7" ht="102.75" thickBot="1">
      <c r="C978" s="681" t="s">
        <v>505</v>
      </c>
      <c r="D978" s="21">
        <v>72.619315080162522</v>
      </c>
      <c r="E978" s="231" t="s">
        <v>211</v>
      </c>
      <c r="F978" s="693" t="s">
        <v>2028</v>
      </c>
      <c r="G978" s="685" t="s">
        <v>2029</v>
      </c>
    </row>
    <row r="979" spans="2:7" ht="90.75" thickTop="1" thickBot="1">
      <c r="C979" s="689" t="s">
        <v>506</v>
      </c>
      <c r="D979" s="21">
        <v>249.98288853273485</v>
      </c>
      <c r="E979" s="231" t="s">
        <v>215</v>
      </c>
      <c r="F979" s="684" t="s">
        <v>2030</v>
      </c>
      <c r="G979" s="685" t="s">
        <v>2031</v>
      </c>
    </row>
    <row r="980" spans="2:7" ht="16.5" thickTop="1" thickBot="1">
      <c r="B980" s="15" t="s">
        <v>1199</v>
      </c>
      <c r="C980" s="678" t="s">
        <v>2032</v>
      </c>
      <c r="D980" s="679"/>
      <c r="E980" s="679"/>
      <c r="F980" s="680"/>
      <c r="G980" s="680"/>
    </row>
    <row r="981" spans="2:7" ht="77.25" thickBot="1">
      <c r="C981" s="681" t="s">
        <v>491</v>
      </c>
      <c r="D981" s="687">
        <v>68936.593670802467</v>
      </c>
      <c r="E981" s="231" t="s">
        <v>411</v>
      </c>
      <c r="F981" s="684" t="s">
        <v>2033</v>
      </c>
      <c r="G981" s="685" t="s">
        <v>2034</v>
      </c>
    </row>
    <row r="982" spans="2:7" ht="78" thickTop="1" thickBot="1">
      <c r="C982" s="681" t="s">
        <v>490</v>
      </c>
      <c r="D982" s="687">
        <v>26870.828591179059</v>
      </c>
      <c r="E982" s="683" t="s">
        <v>411</v>
      </c>
      <c r="F982" s="684" t="s">
        <v>2035</v>
      </c>
      <c r="G982" s="685" t="s">
        <v>2034</v>
      </c>
    </row>
    <row r="983" spans="2:7" ht="90.75" thickTop="1" thickBot="1">
      <c r="C983" s="681" t="s">
        <v>2036</v>
      </c>
      <c r="D983" s="687">
        <v>17818.916688475747</v>
      </c>
      <c r="E983" s="683" t="s">
        <v>1309</v>
      </c>
      <c r="F983" s="684" t="s">
        <v>1310</v>
      </c>
      <c r="G983" s="685" t="s">
        <v>2037</v>
      </c>
    </row>
    <row r="984" spans="2:7" ht="16.5" thickTop="1" thickBot="1">
      <c r="B984" s="15" t="s">
        <v>1199</v>
      </c>
      <c r="C984" s="678" t="s">
        <v>2038</v>
      </c>
      <c r="D984" s="679"/>
      <c r="E984" s="679"/>
      <c r="F984" s="680"/>
      <c r="G984" s="680"/>
    </row>
    <row r="985" spans="2:7" ht="102.75" thickBot="1">
      <c r="C985" s="681" t="s">
        <v>500</v>
      </c>
      <c r="D985" s="688">
        <v>318522.57210048923</v>
      </c>
      <c r="E985" s="683" t="s">
        <v>2039</v>
      </c>
      <c r="F985" s="684" t="s">
        <v>2040</v>
      </c>
      <c r="G985" s="685" t="s">
        <v>2041</v>
      </c>
    </row>
    <row r="986" spans="2:7" ht="103.5" thickTop="1" thickBot="1">
      <c r="C986" s="681" t="s">
        <v>501</v>
      </c>
      <c r="D986" s="688">
        <v>540292.99271166616</v>
      </c>
      <c r="E986" s="683" t="s">
        <v>2039</v>
      </c>
      <c r="F986" s="684" t="s">
        <v>2042</v>
      </c>
      <c r="G986" s="685" t="s">
        <v>2041</v>
      </c>
    </row>
    <row r="987" spans="2:7" ht="103.5" thickTop="1" thickBot="1">
      <c r="C987" s="681" t="s">
        <v>502</v>
      </c>
      <c r="D987" s="688">
        <v>1735593.3589661038</v>
      </c>
      <c r="E987" s="683" t="s">
        <v>2039</v>
      </c>
      <c r="F987" s="684" t="s">
        <v>2043</v>
      </c>
      <c r="G987" s="685" t="s">
        <v>2041</v>
      </c>
    </row>
    <row r="988" spans="2:7" ht="16.5" thickTop="1" thickBot="1">
      <c r="B988" s="15" t="s">
        <v>1199</v>
      </c>
      <c r="C988" s="678" t="s">
        <v>2044</v>
      </c>
      <c r="D988" s="679"/>
      <c r="E988" s="679"/>
      <c r="F988" s="680" t="s">
        <v>2045</v>
      </c>
      <c r="G988" s="680"/>
    </row>
    <row r="989" spans="2:7" ht="39" thickBot="1">
      <c r="C989" s="681" t="s">
        <v>1044</v>
      </c>
      <c r="D989" s="25">
        <v>40234.221564812651</v>
      </c>
      <c r="E989" s="683" t="s">
        <v>2046</v>
      </c>
      <c r="F989" s="684" t="s">
        <v>2047</v>
      </c>
      <c r="G989" s="685" t="s">
        <v>2048</v>
      </c>
    </row>
    <row r="990" spans="2:7" ht="39.75" thickTop="1" thickBot="1">
      <c r="C990" s="681" t="s">
        <v>616</v>
      </c>
      <c r="D990" s="25">
        <v>70398.304542317535</v>
      </c>
      <c r="E990" s="683" t="s">
        <v>2046</v>
      </c>
      <c r="F990" s="684" t="s">
        <v>2049</v>
      </c>
      <c r="G990" s="685" t="s">
        <v>2048</v>
      </c>
    </row>
    <row r="991" spans="2:7" ht="16.5" thickTop="1" thickBot="1">
      <c r="B991" s="15" t="s">
        <v>1199</v>
      </c>
      <c r="C991" s="678" t="s">
        <v>2050</v>
      </c>
      <c r="D991" s="679"/>
      <c r="E991" s="679"/>
      <c r="F991" s="680"/>
      <c r="G991" s="680"/>
    </row>
    <row r="992" spans="2:7" ht="39" thickBot="1">
      <c r="C992" s="681" t="s">
        <v>2051</v>
      </c>
      <c r="D992" s="682">
        <v>2636.8438650738854</v>
      </c>
      <c r="E992" s="683" t="s">
        <v>2052</v>
      </c>
      <c r="F992" s="684" t="s">
        <v>2053</v>
      </c>
      <c r="G992" s="685" t="s">
        <v>2054</v>
      </c>
    </row>
    <row r="993" spans="2:7" ht="65.25" thickTop="1" thickBot="1">
      <c r="C993" s="681" t="s">
        <v>2055</v>
      </c>
      <c r="D993" s="690">
        <v>29657.363562698574</v>
      </c>
      <c r="E993" s="231" t="s">
        <v>2056</v>
      </c>
      <c r="F993" s="684" t="s">
        <v>2057</v>
      </c>
      <c r="G993" s="685" t="s">
        <v>2058</v>
      </c>
    </row>
    <row r="994" spans="2:7" ht="39.75" thickTop="1" thickBot="1">
      <c r="C994" s="681" t="s">
        <v>2059</v>
      </c>
      <c r="D994" s="690">
        <v>138513.19953720269</v>
      </c>
      <c r="E994" s="231" t="s">
        <v>2060</v>
      </c>
      <c r="F994" s="684" t="s">
        <v>2061</v>
      </c>
      <c r="G994" s="685" t="s">
        <v>2062</v>
      </c>
    </row>
    <row r="995" spans="2:7" ht="65.25" thickTop="1" thickBot="1">
      <c r="C995" s="681" t="s">
        <v>2063</v>
      </c>
      <c r="D995" s="690">
        <v>275733.74040093599</v>
      </c>
      <c r="E995" s="231" t="s">
        <v>2060</v>
      </c>
      <c r="F995" s="684" t="s">
        <v>2064</v>
      </c>
      <c r="G995" s="685" t="s">
        <v>2065</v>
      </c>
    </row>
    <row r="996" spans="2:7" ht="31.5" thickTop="1" thickBot="1">
      <c r="C996" s="681" t="s">
        <v>2066</v>
      </c>
      <c r="D996" s="690">
        <v>7591.56</v>
      </c>
      <c r="E996" s="231" t="s">
        <v>211</v>
      </c>
      <c r="F996" s="684" t="s">
        <v>2067</v>
      </c>
      <c r="G996" s="685" t="s">
        <v>2068</v>
      </c>
    </row>
    <row r="997" spans="2:7" ht="31.5" thickTop="1" thickBot="1">
      <c r="C997" s="681" t="s">
        <v>2069</v>
      </c>
      <c r="D997" s="690">
        <v>10325.200000000001</v>
      </c>
      <c r="E997" s="231" t="s">
        <v>211</v>
      </c>
      <c r="F997" s="684" t="s">
        <v>2067</v>
      </c>
      <c r="G997" s="685" t="s">
        <v>2068</v>
      </c>
    </row>
    <row r="998" spans="2:7" ht="65.25" thickTop="1" thickBot="1">
      <c r="C998" s="681" t="s">
        <v>2070</v>
      </c>
      <c r="D998" s="690">
        <v>163909.04999999999</v>
      </c>
      <c r="E998" s="231" t="s">
        <v>2071</v>
      </c>
      <c r="F998" s="684" t="s">
        <v>2072</v>
      </c>
      <c r="G998" s="684"/>
    </row>
    <row r="999" spans="2:7" ht="65.25" thickTop="1" thickBot="1">
      <c r="C999" s="681" t="s">
        <v>2073</v>
      </c>
      <c r="D999" s="690">
        <v>5463.6350000000002</v>
      </c>
      <c r="E999" s="231" t="s">
        <v>1176</v>
      </c>
      <c r="F999" s="684" t="s">
        <v>2072</v>
      </c>
      <c r="G999" s="684"/>
    </row>
    <row r="1000" spans="2:7" ht="65.25" thickTop="1" thickBot="1">
      <c r="C1000" s="681" t="s">
        <v>2074</v>
      </c>
      <c r="D1000" s="690">
        <v>218545.4</v>
      </c>
      <c r="E1000" s="231" t="s">
        <v>2075</v>
      </c>
      <c r="F1000" s="684" t="s">
        <v>2072</v>
      </c>
      <c r="G1000" s="684"/>
    </row>
    <row r="1001" spans="2:7" ht="65.25" thickTop="1" thickBot="1">
      <c r="C1001" s="681" t="s">
        <v>2076</v>
      </c>
      <c r="D1001" s="690">
        <v>63378.165999999997</v>
      </c>
      <c r="E1001" s="231" t="s">
        <v>2075</v>
      </c>
      <c r="F1001" s="684" t="s">
        <v>2072</v>
      </c>
      <c r="G1001" s="685" t="s">
        <v>2077</v>
      </c>
    </row>
    <row r="1002" spans="2:7" ht="65.25" thickTop="1" thickBot="1">
      <c r="C1002" s="681" t="s">
        <v>2078</v>
      </c>
      <c r="D1002" s="690">
        <v>8413.9979000000003</v>
      </c>
      <c r="E1002" s="231" t="s">
        <v>2075</v>
      </c>
      <c r="F1002" s="684" t="s">
        <v>2072</v>
      </c>
      <c r="G1002" s="685" t="s">
        <v>2079</v>
      </c>
    </row>
    <row r="1003" spans="2:7" ht="16.5" thickTop="1" thickBot="1">
      <c r="B1003" s="15" t="s">
        <v>1199</v>
      </c>
      <c r="C1003" s="678" t="s">
        <v>2080</v>
      </c>
      <c r="D1003" s="679"/>
      <c r="E1003" s="679"/>
      <c r="F1003" s="680"/>
      <c r="G1003" s="680"/>
    </row>
    <row r="1004" spans="2:7" ht="26.25" thickBot="1">
      <c r="C1004" s="681" t="s">
        <v>2081</v>
      </c>
      <c r="D1004" s="687">
        <v>135854.75200000001</v>
      </c>
      <c r="E1004" s="683" t="s">
        <v>1176</v>
      </c>
      <c r="F1004" s="684" t="s">
        <v>2082</v>
      </c>
      <c r="G1004" s="685" t="s">
        <v>2083</v>
      </c>
    </row>
    <row r="1005" spans="2:7" ht="16.5" thickTop="1" thickBot="1">
      <c r="B1005" s="15" t="s">
        <v>1199</v>
      </c>
      <c r="C1005" s="678" t="s">
        <v>492</v>
      </c>
      <c r="D1005" s="679"/>
      <c r="E1005" s="679"/>
      <c r="F1005" s="680"/>
      <c r="G1005" s="680"/>
    </row>
    <row r="1006" spans="2:7" ht="115.5" thickBot="1">
      <c r="C1006" s="681" t="s">
        <v>493</v>
      </c>
      <c r="D1006" s="21">
        <v>133.73552126184188</v>
      </c>
      <c r="E1006" s="683" t="s">
        <v>215</v>
      </c>
      <c r="F1006" s="684" t="s">
        <v>2084</v>
      </c>
      <c r="G1006" s="685" t="s">
        <v>2085</v>
      </c>
    </row>
    <row r="1007" spans="2:7" ht="116.25" thickTop="1" thickBot="1">
      <c r="C1007" s="681" t="s">
        <v>494</v>
      </c>
      <c r="D1007" s="21">
        <v>111.47309170967149</v>
      </c>
      <c r="E1007" s="683" t="s">
        <v>215</v>
      </c>
      <c r="F1007" s="684" t="s">
        <v>2086</v>
      </c>
      <c r="G1007" s="685" t="s">
        <v>2085</v>
      </c>
    </row>
    <row r="1008" spans="2:7" ht="116.25" thickTop="1" thickBot="1">
      <c r="C1008" s="681" t="s">
        <v>2087</v>
      </c>
      <c r="D1008" s="21">
        <v>93.143883848883377</v>
      </c>
      <c r="E1008" s="683" t="s">
        <v>215</v>
      </c>
      <c r="F1008" s="684" t="s">
        <v>2088</v>
      </c>
      <c r="G1008" s="685" t="s">
        <v>2089</v>
      </c>
    </row>
    <row r="1009" spans="2:7" ht="16.5" thickTop="1" thickBot="1">
      <c r="B1009" s="15" t="s">
        <v>1199</v>
      </c>
      <c r="C1009" s="678" t="s">
        <v>87</v>
      </c>
      <c r="D1009" s="679"/>
      <c r="E1009" s="679"/>
      <c r="F1009" s="680"/>
      <c r="G1009" s="680"/>
    </row>
    <row r="1010" spans="2:7" ht="102.75" thickBot="1">
      <c r="C1010" s="681" t="s">
        <v>838</v>
      </c>
      <c r="D1010" s="687">
        <v>1078813.7929019369</v>
      </c>
      <c r="E1010" s="231" t="s">
        <v>299</v>
      </c>
      <c r="F1010" s="685" t="s">
        <v>2090</v>
      </c>
      <c r="G1010" s="685" t="s">
        <v>2091</v>
      </c>
    </row>
    <row r="1011" spans="2:7" ht="154.5" thickTop="1" thickBot="1">
      <c r="C1011" s="681" t="s">
        <v>839</v>
      </c>
      <c r="D1011" s="687">
        <v>415238.60894906265</v>
      </c>
      <c r="E1011" s="231" t="s">
        <v>299</v>
      </c>
      <c r="F1011" s="685" t="s">
        <v>2092</v>
      </c>
      <c r="G1011" s="685" t="s">
        <v>2091</v>
      </c>
    </row>
    <row r="1012" spans="2:7" ht="154.5" thickTop="1" thickBot="1">
      <c r="C1012" s="681" t="s">
        <v>840</v>
      </c>
      <c r="D1012" s="687">
        <v>225586.61835558742</v>
      </c>
      <c r="E1012" s="231" t="s">
        <v>299</v>
      </c>
      <c r="F1012" s="685" t="s">
        <v>2093</v>
      </c>
      <c r="G1012" s="685" t="s">
        <v>2091</v>
      </c>
    </row>
    <row r="1013" spans="2:7" ht="154.5" thickTop="1" thickBot="1">
      <c r="C1013" s="681" t="s">
        <v>841</v>
      </c>
      <c r="D1013" s="687">
        <v>140865.57449187711</v>
      </c>
      <c r="E1013" s="231" t="s">
        <v>299</v>
      </c>
      <c r="F1013" s="685" t="s">
        <v>2094</v>
      </c>
      <c r="G1013" s="685" t="s">
        <v>2091</v>
      </c>
    </row>
    <row r="1014" spans="2:7" ht="90.75" thickTop="1" thickBot="1">
      <c r="C1014" s="681" t="s">
        <v>842</v>
      </c>
      <c r="D1014" s="687">
        <v>32862.471978142385</v>
      </c>
      <c r="E1014" s="231" t="s">
        <v>299</v>
      </c>
      <c r="F1014" s="684" t="s">
        <v>2095</v>
      </c>
      <c r="G1014" s="685" t="s">
        <v>2091</v>
      </c>
    </row>
    <row r="1015" spans="2:7" ht="16.5" thickTop="1" thickBot="1">
      <c r="B1015" s="15" t="s">
        <v>1199</v>
      </c>
      <c r="C1015" s="678" t="s">
        <v>2096</v>
      </c>
      <c r="D1015" s="679"/>
      <c r="E1015" s="679"/>
      <c r="F1015" s="680"/>
      <c r="G1015" s="680"/>
    </row>
    <row r="1016" spans="2:7" ht="90" thickBot="1">
      <c r="C1016" s="681" t="s">
        <v>709</v>
      </c>
      <c r="D1016" s="687">
        <v>103843.48921258037</v>
      </c>
      <c r="E1016" s="231" t="s">
        <v>2097</v>
      </c>
      <c r="F1016" s="684" t="s">
        <v>2098</v>
      </c>
      <c r="G1016" s="685" t="s">
        <v>2099</v>
      </c>
    </row>
    <row r="1017" spans="2:7" ht="90.75" thickTop="1" thickBot="1">
      <c r="C1017" s="681" t="s">
        <v>2100</v>
      </c>
      <c r="D1017" s="687">
        <v>69863.238958109083</v>
      </c>
      <c r="E1017" s="231" t="s">
        <v>2097</v>
      </c>
      <c r="F1017" s="684" t="s">
        <v>2101</v>
      </c>
      <c r="G1017" s="685" t="s">
        <v>2099</v>
      </c>
    </row>
    <row r="1018" spans="2:7" ht="90.75" thickTop="1" thickBot="1">
      <c r="C1018" s="681" t="s">
        <v>707</v>
      </c>
      <c r="D1018" s="687">
        <v>47699.644353826101</v>
      </c>
      <c r="E1018" s="231" t="s">
        <v>2097</v>
      </c>
      <c r="F1018" s="684" t="s">
        <v>2102</v>
      </c>
      <c r="G1018" s="685" t="s">
        <v>2099</v>
      </c>
    </row>
    <row r="1019" spans="2:7" ht="90.75" thickTop="1" thickBot="1">
      <c r="C1019" s="681" t="s">
        <v>711</v>
      </c>
      <c r="D1019" s="687">
        <v>70531.411672805887</v>
      </c>
      <c r="E1019" s="231" t="s">
        <v>2097</v>
      </c>
      <c r="F1019" s="684" t="s">
        <v>2103</v>
      </c>
      <c r="G1019" s="685" t="s">
        <v>2099</v>
      </c>
    </row>
    <row r="1020" spans="2:7" ht="90.75" thickTop="1" thickBot="1">
      <c r="C1020" s="681" t="s">
        <v>712</v>
      </c>
      <c r="D1020" s="687">
        <v>11386.968335452781</v>
      </c>
      <c r="E1020" s="231" t="s">
        <v>2097</v>
      </c>
      <c r="F1020" s="684" t="s">
        <v>2104</v>
      </c>
      <c r="G1020" s="685" t="s">
        <v>2099</v>
      </c>
    </row>
    <row r="1021" spans="2:7" ht="90.75" thickTop="1" thickBot="1">
      <c r="C1021" s="681" t="s">
        <v>708</v>
      </c>
      <c r="D1021" s="687">
        <v>30008.224095300633</v>
      </c>
      <c r="E1021" s="231" t="s">
        <v>2097</v>
      </c>
      <c r="F1021" s="684" t="s">
        <v>2105</v>
      </c>
      <c r="G1021" s="685" t="s">
        <v>2099</v>
      </c>
    </row>
    <row r="1022" spans="2:7" ht="90.75" thickTop="1" thickBot="1">
      <c r="C1022" s="681" t="s">
        <v>713</v>
      </c>
      <c r="D1022" s="687">
        <v>47770.386556658908</v>
      </c>
      <c r="E1022" s="231" t="s">
        <v>2097</v>
      </c>
      <c r="F1022" s="684" t="s">
        <v>2106</v>
      </c>
      <c r="G1022" s="685" t="s">
        <v>2099</v>
      </c>
    </row>
    <row r="1023" spans="2:7" ht="90.75" thickTop="1" thickBot="1">
      <c r="C1023" s="681" t="s">
        <v>2107</v>
      </c>
      <c r="D1023" s="687">
        <v>82425.173653061036</v>
      </c>
      <c r="E1023" s="231" t="s">
        <v>2097</v>
      </c>
      <c r="F1023" s="684" t="s">
        <v>2108</v>
      </c>
      <c r="G1023" s="685" t="s">
        <v>2099</v>
      </c>
    </row>
    <row r="1024" spans="2:7" ht="90.75" thickTop="1" thickBot="1">
      <c r="C1024" s="681" t="s">
        <v>2109</v>
      </c>
      <c r="D1024" s="687">
        <v>136798.38932424033</v>
      </c>
      <c r="E1024" s="231" t="s">
        <v>2097</v>
      </c>
      <c r="F1024" s="684" t="s">
        <v>2110</v>
      </c>
      <c r="G1024" s="685" t="s">
        <v>2099</v>
      </c>
    </row>
    <row r="1025" spans="3:7" ht="90.75" thickTop="1" thickBot="1">
      <c r="C1025" s="681" t="s">
        <v>2111</v>
      </c>
      <c r="D1025" s="687">
        <v>236511.88960732095</v>
      </c>
      <c r="E1025" s="231" t="s">
        <v>2097</v>
      </c>
      <c r="F1025" s="684" t="s">
        <v>2112</v>
      </c>
      <c r="G1025" s="685" t="s">
        <v>2099</v>
      </c>
    </row>
    <row r="1026" spans="3:7" ht="78" thickTop="1" thickBot="1">
      <c r="C1026" s="681" t="s">
        <v>2113</v>
      </c>
      <c r="D1026" s="687">
        <v>80790.493661522007</v>
      </c>
      <c r="E1026" s="231" t="s">
        <v>2097</v>
      </c>
      <c r="F1026" s="684" t="s">
        <v>2114</v>
      </c>
      <c r="G1026" s="685" t="s">
        <v>2099</v>
      </c>
    </row>
    <row r="1027" spans="3:7" ht="65.25" thickTop="1" thickBot="1">
      <c r="C1027" s="681" t="s">
        <v>2115</v>
      </c>
      <c r="D1027" s="687">
        <v>10973.846640948901</v>
      </c>
      <c r="E1027" s="231" t="s">
        <v>2097</v>
      </c>
      <c r="F1027" s="684" t="s">
        <v>2116</v>
      </c>
      <c r="G1027" s="685" t="s">
        <v>2099</v>
      </c>
    </row>
    <row r="1028" spans="3:7" ht="65.25" thickTop="1" thickBot="1">
      <c r="C1028" s="681" t="s">
        <v>710</v>
      </c>
      <c r="D1028" s="687">
        <v>15313.803593961336</v>
      </c>
      <c r="E1028" s="231" t="s">
        <v>2097</v>
      </c>
      <c r="F1028" s="684" t="s">
        <v>2117</v>
      </c>
      <c r="G1028" s="685" t="s">
        <v>2099</v>
      </c>
    </row>
    <row r="1029" spans="3:7" ht="65.25" thickTop="1" thickBot="1">
      <c r="C1029" s="681" t="s">
        <v>2118</v>
      </c>
      <c r="D1029" s="687">
        <v>19643.334665387938</v>
      </c>
      <c r="E1029" s="231" t="s">
        <v>2097</v>
      </c>
      <c r="F1029" s="684" t="s">
        <v>2119</v>
      </c>
      <c r="G1029" s="685" t="s">
        <v>2099</v>
      </c>
    </row>
    <row r="1030" spans="3:7" ht="78" thickTop="1" thickBot="1">
      <c r="C1030" s="681" t="s">
        <v>2120</v>
      </c>
      <c r="D1030" s="687">
        <v>13008.956429374488</v>
      </c>
      <c r="E1030" s="231" t="s">
        <v>2097</v>
      </c>
      <c r="F1030" s="684" t="s">
        <v>2121</v>
      </c>
      <c r="G1030" s="685" t="s">
        <v>2099</v>
      </c>
    </row>
    <row r="1031" spans="3:7" ht="78" thickTop="1" thickBot="1">
      <c r="C1031" s="681" t="s">
        <v>2122</v>
      </c>
      <c r="D1031" s="687">
        <v>15466.193623328387</v>
      </c>
      <c r="E1031" s="231" t="s">
        <v>2097</v>
      </c>
      <c r="F1031" s="684" t="s">
        <v>2123</v>
      </c>
      <c r="G1031" s="685" t="s">
        <v>2099</v>
      </c>
    </row>
    <row r="1032" spans="3:7" ht="78" thickTop="1" thickBot="1">
      <c r="C1032" s="681" t="s">
        <v>2124</v>
      </c>
      <c r="D1032" s="687">
        <v>18206.956555598088</v>
      </c>
      <c r="E1032" s="231" t="s">
        <v>2097</v>
      </c>
      <c r="F1032" s="684" t="s">
        <v>2125</v>
      </c>
      <c r="G1032" s="685" t="s">
        <v>2099</v>
      </c>
    </row>
    <row r="1033" spans="3:7" ht="78" thickTop="1" thickBot="1">
      <c r="C1033" s="681" t="s">
        <v>472</v>
      </c>
      <c r="D1033" s="687">
        <v>26442.16735550671</v>
      </c>
      <c r="E1033" s="231" t="s">
        <v>2097</v>
      </c>
      <c r="F1033" s="684" t="s">
        <v>2126</v>
      </c>
      <c r="G1033" s="685" t="s">
        <v>2099</v>
      </c>
    </row>
    <row r="1034" spans="3:7" ht="78" thickTop="1" thickBot="1">
      <c r="C1034" s="681" t="s">
        <v>2127</v>
      </c>
      <c r="D1034" s="687">
        <v>33385.153179460453</v>
      </c>
      <c r="E1034" s="231" t="s">
        <v>2097</v>
      </c>
      <c r="F1034" s="684" t="s">
        <v>2128</v>
      </c>
      <c r="G1034" s="685" t="s">
        <v>2099</v>
      </c>
    </row>
    <row r="1035" spans="3:7" ht="90.75" thickTop="1" thickBot="1">
      <c r="C1035" s="681" t="s">
        <v>2129</v>
      </c>
      <c r="D1035" s="687">
        <v>44540.350776720981</v>
      </c>
      <c r="E1035" s="231" t="s">
        <v>2097</v>
      </c>
      <c r="F1035" s="684" t="s">
        <v>2130</v>
      </c>
      <c r="G1035" s="685" t="s">
        <v>2099</v>
      </c>
    </row>
    <row r="1036" spans="3:7" ht="90.75" thickTop="1" thickBot="1">
      <c r="C1036" s="681" t="s">
        <v>2131</v>
      </c>
      <c r="D1036" s="687">
        <v>54209.716327246751</v>
      </c>
      <c r="E1036" s="231" t="s">
        <v>2097</v>
      </c>
      <c r="F1036" s="684" t="s">
        <v>2132</v>
      </c>
      <c r="G1036" s="685" t="s">
        <v>2099</v>
      </c>
    </row>
    <row r="1037" spans="3:7" ht="90.75" thickTop="1" thickBot="1">
      <c r="C1037" s="681" t="s">
        <v>2133</v>
      </c>
      <c r="D1037" s="687">
        <v>67530.743482399368</v>
      </c>
      <c r="E1037" s="231" t="s">
        <v>2097</v>
      </c>
      <c r="F1037" s="684" t="s">
        <v>2134</v>
      </c>
      <c r="G1037" s="685" t="s">
        <v>2099</v>
      </c>
    </row>
    <row r="1038" spans="3:7" ht="90.75" thickTop="1" thickBot="1">
      <c r="C1038" s="681" t="s">
        <v>2135</v>
      </c>
      <c r="D1038" s="687">
        <v>81113.440341406807</v>
      </c>
      <c r="E1038" s="231" t="s">
        <v>2097</v>
      </c>
      <c r="F1038" s="684" t="s">
        <v>2136</v>
      </c>
      <c r="G1038" s="685" t="s">
        <v>2099</v>
      </c>
    </row>
    <row r="1039" spans="3:7" ht="90.75" thickTop="1" thickBot="1">
      <c r="C1039" s="681" t="s">
        <v>2137</v>
      </c>
      <c r="D1039" s="687">
        <v>94280.324664757645</v>
      </c>
      <c r="E1039" s="231" t="s">
        <v>2097</v>
      </c>
      <c r="F1039" s="684" t="s">
        <v>2138</v>
      </c>
      <c r="G1039" s="685" t="s">
        <v>2099</v>
      </c>
    </row>
    <row r="1040" spans="3:7" ht="39.75" thickTop="1" thickBot="1">
      <c r="C1040" s="681" t="s">
        <v>473</v>
      </c>
      <c r="D1040" s="682">
        <v>665.01397986071765</v>
      </c>
      <c r="E1040" s="683" t="s">
        <v>2097</v>
      </c>
      <c r="F1040" s="684" t="s">
        <v>2139</v>
      </c>
      <c r="G1040" s="685" t="s">
        <v>2099</v>
      </c>
    </row>
    <row r="1041" spans="2:7" ht="39.75" thickTop="1" thickBot="1">
      <c r="C1041" s="681" t="s">
        <v>471</v>
      </c>
      <c r="D1041" s="682">
        <v>1513.18</v>
      </c>
      <c r="E1041" s="683" t="s">
        <v>2097</v>
      </c>
      <c r="F1041" s="684" t="s">
        <v>2140</v>
      </c>
      <c r="G1041" s="685" t="s">
        <v>2141</v>
      </c>
    </row>
    <row r="1042" spans="2:7" ht="16.5" thickTop="1" thickBot="1">
      <c r="B1042" s="15" t="s">
        <v>1199</v>
      </c>
      <c r="C1042" s="678" t="s">
        <v>2142</v>
      </c>
      <c r="D1042" s="679"/>
      <c r="E1042" s="679"/>
      <c r="F1042" s="680"/>
      <c r="G1042" s="680"/>
    </row>
    <row r="1043" spans="2:7" ht="39" thickBot="1">
      <c r="C1043" s="681" t="s">
        <v>2143</v>
      </c>
      <c r="D1043" s="687">
        <v>1515.6700588235294</v>
      </c>
      <c r="E1043" s="231" t="s">
        <v>411</v>
      </c>
      <c r="F1043" s="684" t="s">
        <v>2144</v>
      </c>
      <c r="G1043" s="685" t="s">
        <v>2145</v>
      </c>
    </row>
    <row r="1044" spans="2:7" ht="39.75" thickTop="1" thickBot="1">
      <c r="C1044" s="681" t="s">
        <v>428</v>
      </c>
      <c r="D1044" s="687">
        <v>14580.253300209282</v>
      </c>
      <c r="E1044" s="231" t="s">
        <v>411</v>
      </c>
      <c r="F1044" s="684" t="s">
        <v>2146</v>
      </c>
      <c r="G1044" s="685" t="s">
        <v>2145</v>
      </c>
    </row>
    <row r="1045" spans="2:7" ht="39.75" thickTop="1" thickBot="1">
      <c r="C1045" s="681" t="s">
        <v>427</v>
      </c>
      <c r="D1045" s="687">
        <v>54914.426917558871</v>
      </c>
      <c r="E1045" s="231" t="s">
        <v>411</v>
      </c>
      <c r="F1045" s="684" t="s">
        <v>2147</v>
      </c>
      <c r="G1045" s="685" t="s">
        <v>2145</v>
      </c>
    </row>
    <row r="1046" spans="2:7" ht="39.75" thickTop="1" thickBot="1">
      <c r="C1046" s="681" t="s">
        <v>2143</v>
      </c>
      <c r="D1046" s="687">
        <v>1515.6700588235294</v>
      </c>
      <c r="E1046" s="231" t="s">
        <v>411</v>
      </c>
      <c r="F1046" s="684" t="s">
        <v>2144</v>
      </c>
      <c r="G1046" s="685" t="s">
        <v>2148</v>
      </c>
    </row>
    <row r="1047" spans="2:7" ht="39.75" thickTop="1" thickBot="1">
      <c r="C1047" s="681" t="s">
        <v>428</v>
      </c>
      <c r="D1047" s="687">
        <v>18111.121692709283</v>
      </c>
      <c r="E1047" s="231" t="s">
        <v>411</v>
      </c>
      <c r="F1047" s="684" t="s">
        <v>2149</v>
      </c>
      <c r="G1047" s="685" t="s">
        <v>2148</v>
      </c>
    </row>
    <row r="1048" spans="2:7" ht="39.75" thickTop="1" thickBot="1">
      <c r="C1048" s="681" t="s">
        <v>427</v>
      </c>
      <c r="D1048" s="687">
        <v>58445.295310058871</v>
      </c>
      <c r="E1048" s="231" t="s">
        <v>411</v>
      </c>
      <c r="F1048" s="684" t="s">
        <v>2150</v>
      </c>
      <c r="G1048" s="685" t="s">
        <v>2148</v>
      </c>
    </row>
    <row r="1049" spans="2:7" ht="39.75" thickTop="1" thickBot="1">
      <c r="C1049" s="681" t="s">
        <v>2143</v>
      </c>
      <c r="D1049" s="687">
        <v>1515.6700588235294</v>
      </c>
      <c r="E1049" s="231" t="s">
        <v>411</v>
      </c>
      <c r="F1049" s="684" t="s">
        <v>2144</v>
      </c>
      <c r="G1049" s="685" t="s">
        <v>2151</v>
      </c>
    </row>
    <row r="1050" spans="2:7" ht="39.75" thickTop="1" thickBot="1">
      <c r="C1050" s="681" t="s">
        <v>428</v>
      </c>
      <c r="D1050" s="687">
        <v>7679.091692709284</v>
      </c>
      <c r="E1050" s="231" t="s">
        <v>411</v>
      </c>
      <c r="F1050" s="684" t="s">
        <v>2152</v>
      </c>
      <c r="G1050" s="685" t="s">
        <v>2151</v>
      </c>
    </row>
    <row r="1051" spans="2:7" ht="39.75" thickTop="1" thickBot="1">
      <c r="C1051" s="681" t="s">
        <v>427</v>
      </c>
      <c r="D1051" s="687">
        <v>48013.265310058872</v>
      </c>
      <c r="E1051" s="231" t="s">
        <v>411</v>
      </c>
      <c r="F1051" s="684" t="s">
        <v>2153</v>
      </c>
      <c r="G1051" s="685" t="s">
        <v>2151</v>
      </c>
    </row>
    <row r="1052" spans="2:7" ht="39.75" thickTop="1" thickBot="1">
      <c r="C1052" s="681" t="s">
        <v>2143</v>
      </c>
      <c r="D1052" s="687">
        <v>606.26802352941172</v>
      </c>
      <c r="E1052" s="231" t="s">
        <v>299</v>
      </c>
      <c r="F1052" s="684" t="s">
        <v>2154</v>
      </c>
      <c r="G1052" s="685" t="s">
        <v>2155</v>
      </c>
    </row>
    <row r="1053" spans="2:7" ht="39.75" thickTop="1" thickBot="1">
      <c r="C1053" s="681" t="s">
        <v>428</v>
      </c>
      <c r="D1053" s="687">
        <v>5832.1013200837133</v>
      </c>
      <c r="E1053" s="231" t="s">
        <v>299</v>
      </c>
      <c r="F1053" s="684" t="s">
        <v>2156</v>
      </c>
      <c r="G1053" s="685" t="s">
        <v>2155</v>
      </c>
    </row>
    <row r="1054" spans="2:7" ht="39.75" thickTop="1" thickBot="1">
      <c r="C1054" s="681" t="s">
        <v>427</v>
      </c>
      <c r="D1054" s="687">
        <v>21965.770767023547</v>
      </c>
      <c r="E1054" s="231" t="s">
        <v>299</v>
      </c>
      <c r="F1054" s="684" t="s">
        <v>2157</v>
      </c>
      <c r="G1054" s="685" t="s">
        <v>2155</v>
      </c>
    </row>
    <row r="1055" spans="2:7" ht="39.75" thickTop="1" thickBot="1">
      <c r="C1055" s="681" t="s">
        <v>2143</v>
      </c>
      <c r="D1055" s="687">
        <v>606.26802352941172</v>
      </c>
      <c r="E1055" s="231" t="s">
        <v>299</v>
      </c>
      <c r="F1055" s="684" t="s">
        <v>2154</v>
      </c>
      <c r="G1055" s="685" t="s">
        <v>2158</v>
      </c>
    </row>
    <row r="1056" spans="2:7" ht="27" thickTop="1" thickBot="1">
      <c r="C1056" s="681" t="s">
        <v>428</v>
      </c>
      <c r="D1056" s="687">
        <v>7244.4486770837129</v>
      </c>
      <c r="E1056" s="231" t="s">
        <v>299</v>
      </c>
      <c r="F1056" s="684" t="s">
        <v>2159</v>
      </c>
      <c r="G1056" s="685" t="s">
        <v>2158</v>
      </c>
    </row>
    <row r="1057" spans="3:7" ht="39.75" thickTop="1" thickBot="1">
      <c r="C1057" s="681" t="s">
        <v>427</v>
      </c>
      <c r="D1057" s="687">
        <v>23378.118124023549</v>
      </c>
      <c r="E1057" s="231" t="s">
        <v>299</v>
      </c>
      <c r="F1057" s="684" t="s">
        <v>2160</v>
      </c>
      <c r="G1057" s="685" t="s">
        <v>2158</v>
      </c>
    </row>
    <row r="1058" spans="3:7" ht="39.75" thickTop="1" thickBot="1">
      <c r="C1058" s="681" t="s">
        <v>2143</v>
      </c>
      <c r="D1058" s="687">
        <v>606.26802352941172</v>
      </c>
      <c r="E1058" s="231" t="s">
        <v>299</v>
      </c>
      <c r="F1058" s="684" t="s">
        <v>2154</v>
      </c>
      <c r="G1058" s="685" t="s">
        <v>2161</v>
      </c>
    </row>
    <row r="1059" spans="3:7" ht="27" thickTop="1" thickBot="1">
      <c r="C1059" s="681" t="s">
        <v>428</v>
      </c>
      <c r="D1059" s="687">
        <v>3071.6366770837135</v>
      </c>
      <c r="E1059" s="231" t="s">
        <v>299</v>
      </c>
      <c r="F1059" s="684" t="s">
        <v>2162</v>
      </c>
      <c r="G1059" s="685" t="s">
        <v>2161</v>
      </c>
    </row>
    <row r="1060" spans="3:7" ht="39.75" thickTop="1" thickBot="1">
      <c r="C1060" s="681" t="s">
        <v>427</v>
      </c>
      <c r="D1060" s="687">
        <v>19205.306124023547</v>
      </c>
      <c r="E1060" s="231" t="s">
        <v>299</v>
      </c>
      <c r="F1060" s="684" t="s">
        <v>2163</v>
      </c>
      <c r="G1060" s="685" t="s">
        <v>2161</v>
      </c>
    </row>
    <row r="1061" spans="3:7" ht="39.75" thickTop="1" thickBot="1">
      <c r="C1061" s="681" t="s">
        <v>1121</v>
      </c>
      <c r="D1061" s="687">
        <v>313.55142410620272</v>
      </c>
      <c r="E1061" s="231" t="s">
        <v>411</v>
      </c>
      <c r="F1061" s="684" t="s">
        <v>1756</v>
      </c>
      <c r="G1061" s="685" t="s">
        <v>2164</v>
      </c>
    </row>
    <row r="1062" spans="3:7" ht="39.75" thickTop="1" thickBot="1">
      <c r="C1062" s="681" t="s">
        <v>439</v>
      </c>
      <c r="D1062" s="687">
        <v>1083.2956101527145</v>
      </c>
      <c r="E1062" s="231" t="s">
        <v>411</v>
      </c>
      <c r="F1062" s="684" t="s">
        <v>1756</v>
      </c>
      <c r="G1062" s="685" t="s">
        <v>2164</v>
      </c>
    </row>
    <row r="1063" spans="3:7" ht="39.75" thickTop="1" thickBot="1">
      <c r="C1063" s="681" t="s">
        <v>438</v>
      </c>
      <c r="D1063" s="687">
        <v>3700.5079794020248</v>
      </c>
      <c r="E1063" s="231" t="s">
        <v>411</v>
      </c>
      <c r="F1063" s="684" t="s">
        <v>1759</v>
      </c>
      <c r="G1063" s="685" t="s">
        <v>2164</v>
      </c>
    </row>
    <row r="1064" spans="3:7" ht="39.75" thickTop="1" thickBot="1">
      <c r="C1064" s="681" t="s">
        <v>2165</v>
      </c>
      <c r="D1064" s="687">
        <v>4470.2521654485363</v>
      </c>
      <c r="E1064" s="231" t="s">
        <v>411</v>
      </c>
      <c r="F1064" s="684" t="s">
        <v>1759</v>
      </c>
      <c r="G1064" s="685" t="s">
        <v>2164</v>
      </c>
    </row>
    <row r="1065" spans="3:7" ht="39.75" thickTop="1" thickBot="1">
      <c r="C1065" s="681" t="s">
        <v>437</v>
      </c>
      <c r="D1065" s="687">
        <v>9253.8902110664785</v>
      </c>
      <c r="E1065" s="231" t="s">
        <v>411</v>
      </c>
      <c r="F1065" s="684" t="s">
        <v>2166</v>
      </c>
      <c r="G1065" s="685" t="s">
        <v>2164</v>
      </c>
    </row>
    <row r="1066" spans="3:7" ht="39.75" thickTop="1" thickBot="1">
      <c r="C1066" s="681" t="s">
        <v>1121</v>
      </c>
      <c r="D1066" s="687">
        <v>313.55142410620272</v>
      </c>
      <c r="E1066" s="231" t="s">
        <v>411</v>
      </c>
      <c r="F1066" s="684" t="s">
        <v>1756</v>
      </c>
      <c r="G1066" s="685" t="s">
        <v>2167</v>
      </c>
    </row>
    <row r="1067" spans="3:7" ht="39.75" thickTop="1" thickBot="1">
      <c r="C1067" s="681" t="s">
        <v>439</v>
      </c>
      <c r="D1067" s="687">
        <v>1083.2956101527145</v>
      </c>
      <c r="E1067" s="231" t="s">
        <v>411</v>
      </c>
      <c r="F1067" s="684" t="s">
        <v>1756</v>
      </c>
      <c r="G1067" s="685" t="s">
        <v>2167</v>
      </c>
    </row>
    <row r="1068" spans="3:7" ht="39.75" thickTop="1" thickBot="1">
      <c r="C1068" s="681" t="s">
        <v>438</v>
      </c>
      <c r="D1068" s="687">
        <v>4547.916393602025</v>
      </c>
      <c r="E1068" s="231" t="s">
        <v>411</v>
      </c>
      <c r="F1068" s="684" t="s">
        <v>1761</v>
      </c>
      <c r="G1068" s="685" t="s">
        <v>2167</v>
      </c>
    </row>
    <row r="1069" spans="3:7" ht="39.75" thickTop="1" thickBot="1">
      <c r="C1069" s="681" t="s">
        <v>2165</v>
      </c>
      <c r="D1069" s="687">
        <v>5317.6605796485364</v>
      </c>
      <c r="E1069" s="231" t="s">
        <v>411</v>
      </c>
      <c r="F1069" s="684" t="s">
        <v>1761</v>
      </c>
      <c r="G1069" s="685" t="s">
        <v>2167</v>
      </c>
    </row>
    <row r="1070" spans="3:7" ht="39.75" thickTop="1" thickBot="1">
      <c r="C1070" s="681" t="s">
        <v>437</v>
      </c>
      <c r="D1070" s="687">
        <v>10101.298625266478</v>
      </c>
      <c r="E1070" s="231" t="s">
        <v>411</v>
      </c>
      <c r="F1070" s="684" t="s">
        <v>2168</v>
      </c>
      <c r="G1070" s="685" t="s">
        <v>2167</v>
      </c>
    </row>
    <row r="1071" spans="3:7" ht="39.75" thickTop="1" thickBot="1">
      <c r="C1071" s="681" t="s">
        <v>1121</v>
      </c>
      <c r="D1071" s="687">
        <v>313.55142410620272</v>
      </c>
      <c r="E1071" s="231" t="s">
        <v>411</v>
      </c>
      <c r="F1071" s="684" t="s">
        <v>1756</v>
      </c>
      <c r="G1071" s="685" t="s">
        <v>2169</v>
      </c>
    </row>
    <row r="1072" spans="3:7" ht="39.75" thickTop="1" thickBot="1">
      <c r="C1072" s="681" t="s">
        <v>439</v>
      </c>
      <c r="D1072" s="687">
        <v>1083.2956101527145</v>
      </c>
      <c r="E1072" s="231" t="s">
        <v>411</v>
      </c>
      <c r="F1072" s="684" t="s">
        <v>1756</v>
      </c>
      <c r="G1072" s="685" t="s">
        <v>2169</v>
      </c>
    </row>
    <row r="1073" spans="3:7" ht="39.75" thickTop="1" thickBot="1">
      <c r="C1073" s="681" t="s">
        <v>438</v>
      </c>
      <c r="D1073" s="687">
        <v>2044.2291936020247</v>
      </c>
      <c r="E1073" s="231" t="s">
        <v>411</v>
      </c>
      <c r="F1073" s="684" t="s">
        <v>1762</v>
      </c>
      <c r="G1073" s="685" t="s">
        <v>2169</v>
      </c>
    </row>
    <row r="1074" spans="3:7" ht="39.75" thickTop="1" thickBot="1">
      <c r="C1074" s="681" t="s">
        <v>2165</v>
      </c>
      <c r="D1074" s="687">
        <v>2813.9733796485361</v>
      </c>
      <c r="E1074" s="231" t="s">
        <v>411</v>
      </c>
      <c r="F1074" s="684" t="s">
        <v>1762</v>
      </c>
      <c r="G1074" s="685" t="s">
        <v>2169</v>
      </c>
    </row>
    <row r="1075" spans="3:7" ht="39.75" thickTop="1" thickBot="1">
      <c r="C1075" s="681" t="s">
        <v>437</v>
      </c>
      <c r="D1075" s="687">
        <v>7597.6114252664784</v>
      </c>
      <c r="E1075" s="231" t="s">
        <v>411</v>
      </c>
      <c r="F1075" s="684" t="s">
        <v>2170</v>
      </c>
      <c r="G1075" s="685" t="s">
        <v>2169</v>
      </c>
    </row>
    <row r="1076" spans="3:7" ht="39.75" thickTop="1" thickBot="1">
      <c r="C1076" s="681" t="s">
        <v>1121</v>
      </c>
      <c r="D1076" s="687">
        <v>522.58570684367123</v>
      </c>
      <c r="E1076" s="231" t="s">
        <v>299</v>
      </c>
      <c r="F1076" s="684" t="s">
        <v>2171</v>
      </c>
      <c r="G1076" s="685" t="s">
        <v>2172</v>
      </c>
    </row>
    <row r="1077" spans="3:7" ht="39.75" thickTop="1" thickBot="1">
      <c r="C1077" s="681" t="s">
        <v>439</v>
      </c>
      <c r="D1077" s="687">
        <v>1805.4926835878575</v>
      </c>
      <c r="E1077" s="231" t="s">
        <v>299</v>
      </c>
      <c r="F1077" s="684" t="s">
        <v>2171</v>
      </c>
      <c r="G1077" s="685" t="s">
        <v>2172</v>
      </c>
    </row>
    <row r="1078" spans="3:7" ht="39.75" thickTop="1" thickBot="1">
      <c r="C1078" s="681" t="s">
        <v>438</v>
      </c>
      <c r="D1078" s="687">
        <v>6167.5132990033753</v>
      </c>
      <c r="E1078" s="231" t="s">
        <v>299</v>
      </c>
      <c r="F1078" s="684" t="s">
        <v>2173</v>
      </c>
      <c r="G1078" s="685" t="s">
        <v>2172</v>
      </c>
    </row>
    <row r="1079" spans="3:7" ht="39.75" thickTop="1" thickBot="1">
      <c r="C1079" s="681" t="s">
        <v>2165</v>
      </c>
      <c r="D1079" s="687">
        <v>7450.4202757475605</v>
      </c>
      <c r="E1079" s="231" t="s">
        <v>299</v>
      </c>
      <c r="F1079" s="684" t="s">
        <v>2173</v>
      </c>
      <c r="G1079" s="685" t="s">
        <v>2172</v>
      </c>
    </row>
    <row r="1080" spans="3:7" ht="39.75" thickTop="1" thickBot="1">
      <c r="C1080" s="681" t="s">
        <v>437</v>
      </c>
      <c r="D1080" s="687">
        <v>15423.150351777465</v>
      </c>
      <c r="E1080" s="231" t="s">
        <v>299</v>
      </c>
      <c r="F1080" s="684" t="s">
        <v>2174</v>
      </c>
      <c r="G1080" s="685" t="s">
        <v>2172</v>
      </c>
    </row>
    <row r="1081" spans="3:7" ht="39.75" thickTop="1" thickBot="1">
      <c r="C1081" s="681" t="s">
        <v>1121</v>
      </c>
      <c r="D1081" s="687">
        <v>522.58570684367123</v>
      </c>
      <c r="E1081" s="231" t="s">
        <v>299</v>
      </c>
      <c r="F1081" s="684" t="s">
        <v>2171</v>
      </c>
      <c r="G1081" s="685" t="s">
        <v>2175</v>
      </c>
    </row>
    <row r="1082" spans="3:7" ht="39.75" thickTop="1" thickBot="1">
      <c r="C1082" s="681" t="s">
        <v>439</v>
      </c>
      <c r="D1082" s="687">
        <v>1805.4926835878575</v>
      </c>
      <c r="E1082" s="231" t="s">
        <v>299</v>
      </c>
      <c r="F1082" s="684" t="s">
        <v>2171</v>
      </c>
      <c r="G1082" s="685" t="s">
        <v>2175</v>
      </c>
    </row>
    <row r="1083" spans="3:7" ht="27" thickTop="1" thickBot="1">
      <c r="C1083" s="681" t="s">
        <v>438</v>
      </c>
      <c r="D1083" s="687">
        <v>7579.860656003375</v>
      </c>
      <c r="E1083" s="231" t="s">
        <v>299</v>
      </c>
      <c r="F1083" s="684" t="s">
        <v>2176</v>
      </c>
      <c r="G1083" s="685" t="s">
        <v>2175</v>
      </c>
    </row>
    <row r="1084" spans="3:7" ht="27" thickTop="1" thickBot="1">
      <c r="C1084" s="681" t="s">
        <v>2165</v>
      </c>
      <c r="D1084" s="687">
        <v>8862.7676327475619</v>
      </c>
      <c r="E1084" s="231" t="s">
        <v>299</v>
      </c>
      <c r="F1084" s="684" t="s">
        <v>2176</v>
      </c>
      <c r="G1084" s="685" t="s">
        <v>2175</v>
      </c>
    </row>
    <row r="1085" spans="3:7" ht="39.75" thickTop="1" thickBot="1">
      <c r="C1085" s="681" t="s">
        <v>437</v>
      </c>
      <c r="D1085" s="687">
        <v>16835.497708777464</v>
      </c>
      <c r="E1085" s="231" t="s">
        <v>299</v>
      </c>
      <c r="F1085" s="684" t="s">
        <v>2177</v>
      </c>
      <c r="G1085" s="685" t="s">
        <v>2175</v>
      </c>
    </row>
    <row r="1086" spans="3:7" ht="39.75" thickTop="1" thickBot="1">
      <c r="C1086" s="681" t="s">
        <v>1121</v>
      </c>
      <c r="D1086" s="687">
        <v>522.58570684367123</v>
      </c>
      <c r="E1086" s="231" t="s">
        <v>299</v>
      </c>
      <c r="F1086" s="684" t="s">
        <v>2171</v>
      </c>
      <c r="G1086" s="685" t="s">
        <v>2178</v>
      </c>
    </row>
    <row r="1087" spans="3:7" ht="39.75" thickTop="1" thickBot="1">
      <c r="C1087" s="681" t="s">
        <v>439</v>
      </c>
      <c r="D1087" s="687">
        <v>1805.4926835878575</v>
      </c>
      <c r="E1087" s="231" t="s">
        <v>299</v>
      </c>
      <c r="F1087" s="684" t="s">
        <v>2171</v>
      </c>
      <c r="G1087" s="685" t="s">
        <v>2178</v>
      </c>
    </row>
    <row r="1088" spans="3:7" ht="27" thickTop="1" thickBot="1">
      <c r="C1088" s="681" t="s">
        <v>438</v>
      </c>
      <c r="D1088" s="687">
        <v>3407.0486560033746</v>
      </c>
      <c r="E1088" s="231" t="s">
        <v>299</v>
      </c>
      <c r="F1088" s="684" t="s">
        <v>2179</v>
      </c>
      <c r="G1088" s="685" t="s">
        <v>2178</v>
      </c>
    </row>
    <row r="1089" spans="2:7" ht="27" thickTop="1" thickBot="1">
      <c r="C1089" s="681" t="s">
        <v>2165</v>
      </c>
      <c r="D1089" s="687">
        <v>4689.9556327475602</v>
      </c>
      <c r="E1089" s="231" t="s">
        <v>299</v>
      </c>
      <c r="F1089" s="684" t="s">
        <v>2179</v>
      </c>
      <c r="G1089" s="685" t="s">
        <v>2178</v>
      </c>
    </row>
    <row r="1090" spans="2:7" ht="39.75" thickTop="1" thickBot="1">
      <c r="C1090" s="681" t="s">
        <v>437</v>
      </c>
      <c r="D1090" s="687">
        <v>12662.685708777464</v>
      </c>
      <c r="E1090" s="231" t="s">
        <v>299</v>
      </c>
      <c r="F1090" s="684" t="s">
        <v>2180</v>
      </c>
      <c r="G1090" s="685" t="s">
        <v>2178</v>
      </c>
    </row>
    <row r="1091" spans="2:7" ht="39.75" thickTop="1" thickBot="1">
      <c r="C1091" s="681" t="s">
        <v>448</v>
      </c>
      <c r="D1091" s="687">
        <v>1230.1933991600233</v>
      </c>
      <c r="E1091" s="231" t="s">
        <v>299</v>
      </c>
      <c r="F1091" s="684" t="s">
        <v>1764</v>
      </c>
      <c r="G1091" s="685" t="s">
        <v>2181</v>
      </c>
    </row>
    <row r="1092" spans="2:7" ht="39.75" thickTop="1" thickBot="1">
      <c r="C1092" s="681" t="s">
        <v>2182</v>
      </c>
      <c r="D1092" s="687">
        <v>15299.859706492934</v>
      </c>
      <c r="E1092" s="231" t="s">
        <v>299</v>
      </c>
      <c r="F1092" s="684" t="s">
        <v>1766</v>
      </c>
      <c r="G1092" s="685" t="s">
        <v>2181</v>
      </c>
    </row>
    <row r="1093" spans="2:7" ht="39.75" thickTop="1" thickBot="1">
      <c r="C1093" s="681" t="s">
        <v>2183</v>
      </c>
      <c r="D1093" s="687">
        <v>24555.496759267025</v>
      </c>
      <c r="E1093" s="231" t="s">
        <v>299</v>
      </c>
      <c r="F1093" s="684" t="s">
        <v>2184</v>
      </c>
      <c r="G1093" s="685" t="s">
        <v>2181</v>
      </c>
    </row>
    <row r="1094" spans="2:7" ht="39.75" thickTop="1" thickBot="1">
      <c r="C1094" s="681" t="s">
        <v>2185</v>
      </c>
      <c r="D1094" s="687">
        <v>1230.1933991600233</v>
      </c>
      <c r="E1094" s="231" t="s">
        <v>299</v>
      </c>
      <c r="F1094" s="684" t="s">
        <v>1764</v>
      </c>
      <c r="G1094" s="685" t="s">
        <v>2186</v>
      </c>
    </row>
    <row r="1095" spans="2:7" ht="27" thickTop="1" thickBot="1">
      <c r="C1095" s="681" t="s">
        <v>447</v>
      </c>
      <c r="D1095" s="687">
        <v>18830.728098992935</v>
      </c>
      <c r="E1095" s="231" t="s">
        <v>299</v>
      </c>
      <c r="F1095" s="684" t="s">
        <v>1767</v>
      </c>
      <c r="G1095" s="685" t="s">
        <v>2186</v>
      </c>
    </row>
    <row r="1096" spans="2:7" ht="27" thickTop="1" thickBot="1">
      <c r="C1096" s="681" t="s">
        <v>2187</v>
      </c>
      <c r="D1096" s="687">
        <v>28086.365151767026</v>
      </c>
      <c r="E1096" s="231" t="s">
        <v>299</v>
      </c>
      <c r="F1096" s="684" t="s">
        <v>2188</v>
      </c>
      <c r="G1096" s="685" t="s">
        <v>2186</v>
      </c>
    </row>
    <row r="1097" spans="2:7" ht="39.75" thickTop="1" thickBot="1">
      <c r="C1097" s="681" t="s">
        <v>2189</v>
      </c>
      <c r="D1097" s="687">
        <v>1230.1933991600233</v>
      </c>
      <c r="E1097" s="231" t="s">
        <v>299</v>
      </c>
      <c r="F1097" s="684" t="s">
        <v>1764</v>
      </c>
      <c r="G1097" s="685" t="s">
        <v>2190</v>
      </c>
    </row>
    <row r="1098" spans="2:7" ht="27" thickTop="1" thickBot="1">
      <c r="C1098" s="681" t="s">
        <v>2191</v>
      </c>
      <c r="D1098" s="687">
        <v>8398.6980989929361</v>
      </c>
      <c r="E1098" s="231" t="s">
        <v>299</v>
      </c>
      <c r="F1098" s="684" t="s">
        <v>1768</v>
      </c>
      <c r="G1098" s="685" t="s">
        <v>2190</v>
      </c>
    </row>
    <row r="1099" spans="2:7" ht="27" thickTop="1" thickBot="1">
      <c r="C1099" s="681" t="s">
        <v>2192</v>
      </c>
      <c r="D1099" s="687">
        <v>17654.335151767027</v>
      </c>
      <c r="E1099" s="231" t="s">
        <v>299</v>
      </c>
      <c r="F1099" s="684" t="s">
        <v>2193</v>
      </c>
      <c r="G1099" s="685" t="s">
        <v>2190</v>
      </c>
    </row>
    <row r="1100" spans="2:7" ht="39.75" thickTop="1" thickBot="1">
      <c r="C1100" s="681" t="s">
        <v>450</v>
      </c>
      <c r="D1100" s="687">
        <v>8371.1506650054671</v>
      </c>
      <c r="E1100" s="231" t="s">
        <v>299</v>
      </c>
      <c r="F1100" s="693" t="s">
        <v>2194</v>
      </c>
      <c r="G1100" s="685" t="s">
        <v>2195</v>
      </c>
    </row>
    <row r="1101" spans="2:7" ht="39.75" thickTop="1" thickBot="1">
      <c r="C1101" s="681" t="s">
        <v>2196</v>
      </c>
      <c r="D1101" s="687">
        <v>20712.000068704256</v>
      </c>
      <c r="E1101" s="231" t="s">
        <v>299</v>
      </c>
      <c r="F1101" s="693" t="s">
        <v>2197</v>
      </c>
      <c r="G1101" s="685" t="s">
        <v>2195</v>
      </c>
    </row>
    <row r="1102" spans="2:7" ht="65.25" thickTop="1" thickBot="1">
      <c r="C1102" s="681" t="s">
        <v>453</v>
      </c>
      <c r="D1102" s="690">
        <v>30.641988454717175</v>
      </c>
      <c r="E1102" s="683" t="s">
        <v>215</v>
      </c>
      <c r="F1102" s="684" t="s">
        <v>2198</v>
      </c>
      <c r="G1102" s="685" t="s">
        <v>2199</v>
      </c>
    </row>
    <row r="1103" spans="2:7" ht="52.5" thickTop="1" thickBot="1">
      <c r="C1103" s="681" t="s">
        <v>454</v>
      </c>
      <c r="D1103" s="690">
        <v>61.283976909434351</v>
      </c>
      <c r="E1103" s="683" t="s">
        <v>215</v>
      </c>
      <c r="F1103" s="684" t="s">
        <v>2200</v>
      </c>
      <c r="G1103" s="685" t="s">
        <v>2199</v>
      </c>
    </row>
    <row r="1104" spans="2:7" ht="16.5" thickTop="1" thickBot="1">
      <c r="B1104" s="15" t="s">
        <v>1199</v>
      </c>
      <c r="C1104" s="678" t="s">
        <v>2201</v>
      </c>
      <c r="D1104" s="679"/>
      <c r="E1104" s="679"/>
      <c r="F1104" s="680"/>
      <c r="G1104" s="680"/>
    </row>
    <row r="1105" spans="2:8" ht="51.75" thickBot="1">
      <c r="C1105" s="681" t="s">
        <v>421</v>
      </c>
      <c r="D1105" s="682">
        <v>35223.858822378752</v>
      </c>
      <c r="E1105" s="683" t="s">
        <v>1770</v>
      </c>
      <c r="F1105" s="684" t="s">
        <v>2202</v>
      </c>
      <c r="G1105" s="684" t="s">
        <v>2203</v>
      </c>
      <c r="H1105" s="698"/>
    </row>
    <row r="1106" spans="2:8" ht="52.5" thickTop="1" thickBot="1">
      <c r="C1106" s="681" t="s">
        <v>422</v>
      </c>
      <c r="D1106" s="682">
        <v>6300.8164703964585</v>
      </c>
      <c r="E1106" s="683" t="s">
        <v>1770</v>
      </c>
      <c r="F1106" s="684" t="s">
        <v>2202</v>
      </c>
      <c r="G1106" s="684" t="s">
        <v>2204</v>
      </c>
    </row>
    <row r="1107" spans="2:8" ht="52.5" thickTop="1" thickBot="1">
      <c r="C1107" s="681" t="s">
        <v>423</v>
      </c>
      <c r="D1107" s="24">
        <v>51703.623526343334</v>
      </c>
      <c r="E1107" s="683" t="s">
        <v>1770</v>
      </c>
      <c r="F1107" s="684" t="s">
        <v>2202</v>
      </c>
      <c r="G1107" s="684" t="s">
        <v>2205</v>
      </c>
    </row>
    <row r="1108" spans="2:8" ht="16.5" thickTop="1" thickBot="1">
      <c r="B1108" s="15" t="s">
        <v>1199</v>
      </c>
      <c r="C1108" s="678" t="s">
        <v>2206</v>
      </c>
      <c r="D1108" s="679"/>
      <c r="E1108" s="679"/>
      <c r="F1108" s="680"/>
      <c r="G1108" s="680"/>
    </row>
    <row r="1109" spans="2:8" ht="39" thickBot="1">
      <c r="C1109" s="681" t="s">
        <v>932</v>
      </c>
      <c r="D1109" s="687">
        <v>3546.7689314936579</v>
      </c>
      <c r="E1109" s="683" t="s">
        <v>935</v>
      </c>
      <c r="F1109" s="684" t="s">
        <v>2207</v>
      </c>
      <c r="G1109" s="685" t="s">
        <v>2208</v>
      </c>
    </row>
    <row r="1110" spans="2:8" ht="52.5" thickTop="1" thickBot="1">
      <c r="C1110" s="681" t="s">
        <v>931</v>
      </c>
      <c r="D1110" s="687">
        <v>4923.0089355761465</v>
      </c>
      <c r="E1110" s="683" t="s">
        <v>935</v>
      </c>
      <c r="F1110" s="684" t="s">
        <v>2209</v>
      </c>
      <c r="G1110" s="685" t="s">
        <v>2208</v>
      </c>
    </row>
    <row r="1111" spans="2:8" ht="27" thickTop="1" thickBot="1">
      <c r="C1111" s="681" t="s">
        <v>2210</v>
      </c>
      <c r="D1111" s="688">
        <v>876.48609007681807</v>
      </c>
      <c r="E1111" s="683" t="s">
        <v>935</v>
      </c>
      <c r="F1111" s="684" t="s">
        <v>2211</v>
      </c>
      <c r="G1111" s="685" t="s">
        <v>2212</v>
      </c>
    </row>
    <row r="1112" spans="2:8" ht="52.5" thickTop="1" thickBot="1">
      <c r="C1112" s="681" t="s">
        <v>2213</v>
      </c>
      <c r="D1112" s="688">
        <v>16251.016470396458</v>
      </c>
      <c r="E1112" s="683" t="s">
        <v>938</v>
      </c>
      <c r="F1112" s="684" t="s">
        <v>2214</v>
      </c>
      <c r="G1112" s="685" t="s">
        <v>2215</v>
      </c>
    </row>
    <row r="1113" spans="2:8" ht="16.5" thickTop="1" thickBot="1">
      <c r="C1113" s="681" t="s">
        <v>2216</v>
      </c>
      <c r="D1113" s="688">
        <v>10000</v>
      </c>
      <c r="E1113" s="683" t="s">
        <v>1320</v>
      </c>
      <c r="F1113" s="685" t="s">
        <v>2217</v>
      </c>
      <c r="G1113" s="685" t="s">
        <v>2218</v>
      </c>
    </row>
    <row r="1114" spans="2:8" ht="13.5" thickTop="1"/>
  </sheetData>
  <sheetProtection algorithmName="SHA-512" hashValue="7A/00QA/fBLVwSTbYK8LDYjD9uQBWI3oso9HKd+a79Pet5ij5KHU+Pt/1VQww8F6lzifz3/ZQ1l+16WQRN2wcQ==" saltValue="B3OsgVlEYwW76D+IYBp/7Q==" spinCount="100000" sheet="1" objects="1" scenarios="1" autoFilter="0"/>
  <mergeCells count="3">
    <mergeCell ref="F54:F66"/>
    <mergeCell ref="G54:G66"/>
    <mergeCell ref="F562:F572"/>
  </mergeCells>
  <phoneticPr fontId="21" type="noConversion"/>
  <hyperlinks>
    <hyperlink ref="D4" location="RCE_Summary" display="RCE Summary" xr:uid="{8FAF29D6-7F79-49EE-868D-75754A2FDEB6}"/>
    <hyperlink ref="F988" location="Activity_Construct_open_pit_abandonment_bunding__excavate_and_place" display="Activity_Construct_open_pit_abandonment_bunding__excavate_and_place" xr:uid="{CA6C7041-B508-495E-9E92-9002435E485D}"/>
    <hyperlink ref="B1108" location="top_CS" display="Top" xr:uid="{98E9CF23-3686-43E4-9732-95DB47F3B71D}"/>
    <hyperlink ref="B205" location="top_CS" display="Top" xr:uid="{5AAAAD75-2A33-4C3A-B455-EBDBDB20FB8C}"/>
    <hyperlink ref="B212" location="top_CS" display="Top" xr:uid="{75BFA9BF-0DB3-403B-8BA1-08ABFD039B05}"/>
    <hyperlink ref="B578" location="top_CS" display="Top" xr:uid="{A6FAADE2-5B44-40E8-90B3-7F033254E047}"/>
    <hyperlink ref="B582" location="top_CS" display="Top" xr:uid="{8F873203-9383-4DF2-9A39-6C4E89AA48C8}"/>
    <hyperlink ref="B382" location="top_CS" display="Top" xr:uid="{A42C376A-864D-4BE5-B8A2-E596BE431FA8}"/>
    <hyperlink ref="B297" location="top_CS" display="Top" xr:uid="{4504782A-6C7A-49A0-9ACD-ADD77936C4E3}"/>
    <hyperlink ref="B425" location="top_CS" display="Top" xr:uid="{BBF7860C-55E6-4B71-A811-E64322626487}"/>
    <hyperlink ref="B591" location="top_CS" display="Top" xr:uid="{863A776B-BF1F-494E-890B-1F969C51DE0A}"/>
    <hyperlink ref="B603" location="top_CS" display="Top" xr:uid="{059F2755-B30F-43DF-AE2F-03E2AF118624}"/>
    <hyperlink ref="B615" location="top_CS" display="Top" xr:uid="{17687D09-83D8-494E-A643-30BF99A97DB9}"/>
    <hyperlink ref="B649" location="top_CS" display="Top" xr:uid="{FCCCFD84-0803-468A-91C5-A30D0BEECADF}"/>
    <hyperlink ref="B669" location="top_CS" display="Top" xr:uid="{240B1BA9-C857-438D-9A0A-BE499F905E63}"/>
    <hyperlink ref="B689" location="top_CS" display="Top" xr:uid="{4096F7B1-45DA-40F6-9D99-C539886AD13A}"/>
    <hyperlink ref="B709" location="top_CS" display="Top" xr:uid="{DDDC349C-2B64-4467-A2AC-6C47903669AB}"/>
    <hyperlink ref="B729" location="top_CS" display="Top" xr:uid="{C1E42D6D-E144-41AE-981F-0524A32983A9}"/>
    <hyperlink ref="B749" location="top_CS" display="Top" xr:uid="{E1298AB3-478B-4D6F-9179-F5923C052ECA}"/>
    <hyperlink ref="B789" location="top_CS" display="Top" xr:uid="{F7D7B1E2-5E92-4D52-A2FC-22E1927E88DC}"/>
    <hyperlink ref="B809" location="top_CS" display="Top" xr:uid="{C64CA2C5-3EAF-41B9-8BEB-068CB4C8A636}"/>
    <hyperlink ref="B9" location="top_CS" display="Top" xr:uid="{7AA5EE68-F6C4-4D41-B59D-03EC7B838734}"/>
    <hyperlink ref="B16" location="top_CS" display="Top" xr:uid="{E0EE371E-89F3-40E4-9DFF-7473A101536E}"/>
    <hyperlink ref="B28" location="top_CS" display="Top" xr:uid="{E67A6394-BCAA-47A8-9C28-D50FD1A75B5B}"/>
    <hyperlink ref="B38" location="top_CS" display="Top" xr:uid="{AFF564A1-57E5-4202-BC05-AF2B784FA0E1}"/>
    <hyperlink ref="B45" location="top_CS" display="Top" xr:uid="{7061960F-9D8A-44BD-9E72-4DF33AA3D632}"/>
    <hyperlink ref="B48" location="top_CS" display="Top" xr:uid="{74F1E588-F296-4422-82D6-A92D2FEDF21B}"/>
    <hyperlink ref="B53" location="top_CS" display="Top" xr:uid="{1496BF78-CC99-4A06-8B3C-DAEFBB21AD54}"/>
    <hyperlink ref="B67" location="top_CS" display="Top" xr:uid="{6A249F35-BB0C-4B15-9A90-05FCD2B1B8FF}"/>
    <hyperlink ref="B70" location="top_CS" display="Top" xr:uid="{EB4D2A15-39EC-4C0C-A029-CB84A35AA685}"/>
    <hyperlink ref="B72" location="top_CS" display="Top" xr:uid="{DCFC9149-B10C-4EA2-BF69-4BB5100DF101}"/>
    <hyperlink ref="B81" location="top_CS" display="Top" xr:uid="{F85304E4-2CF9-4224-841E-89241D97DC4C}"/>
    <hyperlink ref="B988" location="top_CS" display="Top" xr:uid="{3E485DC0-1C41-4592-A23E-B539AECF19A8}"/>
    <hyperlink ref="B85" location="top_CS" display="Top" xr:uid="{C81D0521-6647-4E72-80B4-8953290F7D57}"/>
    <hyperlink ref="B90" location="top_CS" display="Top" xr:uid="{618DC733-C406-492F-8B60-510376C41AF1}"/>
    <hyperlink ref="B97" location="top_CS" display="Top" xr:uid="{471EB7AC-3552-4B01-A04A-67A865F785F5}"/>
    <hyperlink ref="B106" location="top_CS" display="Top" xr:uid="{2E2AED36-7394-4F54-9DD2-563809579422}"/>
    <hyperlink ref="B113" location="top_CS" display="Top" xr:uid="{6E53E9F1-1FDF-45BB-AC88-8F27B2510021}"/>
    <hyperlink ref="B1104" location="top_CS" display="Top" xr:uid="{AB5A56F7-E218-4614-8CDC-B1FA160C17DC}"/>
    <hyperlink ref="B1042" location="top_CS" display="Top" xr:uid="{83AF17EB-31F2-4495-B664-38DAA2E538B9}"/>
    <hyperlink ref="B1015" location="top_CS" display="Top" xr:uid="{D8E1F8E1-46C8-40E4-A95D-DA12E57390C9}"/>
    <hyperlink ref="B1009" location="top_CS" display="Top" xr:uid="{F6B2D4B9-1823-4B81-AAD0-00253800F58A}"/>
    <hyperlink ref="B1005" location="top_CS" display="Top" xr:uid="{27F3184C-9354-4710-B0F0-9E69F610AA51}"/>
    <hyperlink ref="B1003" location="top_CS" display="Top" xr:uid="{6C4AE9DA-6FA3-477F-8EB3-D4005EE25032}"/>
    <hyperlink ref="B991" location="top_CS" display="Top" xr:uid="{F424C523-7DB6-4F0F-9CB3-842F25625368}"/>
    <hyperlink ref="B984" location="top_CS" display="Top" xr:uid="{B6B9DBCA-324D-4FCA-A180-A900216871BF}"/>
    <hyperlink ref="B980" location="top_CS" display="Top" xr:uid="{B2CA98A5-A56B-4B97-A357-0B89E5DF9936}"/>
    <hyperlink ref="B977" location="top_CS" display="Top" xr:uid="{1502C1B6-7DA7-48F3-BEA4-FF0D4AB2AE53}"/>
    <hyperlink ref="B891" location="top_CS" display="Top" xr:uid="{ABC35937-8587-4860-B26D-60E6225179FD}"/>
    <hyperlink ref="B869" location="top_CS" display="Top" xr:uid="{D267DFA7-5E0F-45CA-941D-41816F3085E6}"/>
    <hyperlink ref="B862" location="top_CS" display="Top" xr:uid="{B49F5269-1D85-4A44-84D9-3BE73C3DF4B2}"/>
    <hyperlink ref="B841" location="top_CS" display="Top" xr:uid="{16EA7BC4-0B46-4E65-BE83-39CC3150A8EF}"/>
    <hyperlink ref="B832" location="top_CS" display="Top" xr:uid="{F629A850-45B7-4B03-8B6A-D750DB3C4E5A}"/>
    <hyperlink ref="B829" location="top_CS" display="Top" xr:uid="{7E1C1D66-E92B-4DB9-A132-D92C4CBE4D00}"/>
    <hyperlink ref="B573" location="top_CS" display="Top" xr:uid="{87573C0A-9E10-4973-AC24-4E8E685ECA1D}"/>
    <hyperlink ref="B586" location="top_CS" display="Top" xr:uid="{E879282C-7BD6-4E77-895A-A03D3F24F29F}"/>
    <hyperlink ref="B561" location="top_CS" display="Top" xr:uid="{9E0BFD95-B2C1-4B8C-AE2E-E5A86940C101}"/>
    <hyperlink ref="B553" location="top_CS" display="Top" xr:uid="{97660A55-C40A-4777-A731-4ECCB1BE2E4B}"/>
    <hyperlink ref="B520" location="top_CS" display="Top" xr:uid="{E854C22D-90BB-4566-AC09-F17102752054}"/>
    <hyperlink ref="B518" location="top_CS" display="Top" xr:uid="{3C3BD8C9-D243-4011-B6B5-22DA279A9F5E}"/>
    <hyperlink ref="B510" location="top_CS" display="Top" xr:uid="{49D0E127-AD4F-469D-826C-99AB07043121}"/>
    <hyperlink ref="B201" location="top_CS" display="Top" xr:uid="{8F332F1D-9F6F-4D96-8691-158D5FAB99EF}"/>
    <hyperlink ref="B6" location="G" display="G" xr:uid="{69E376BF-9E03-4EC1-ACD0-9F976073CCA2}"/>
    <hyperlink ref="B906" location="top_CS" display="Top" xr:uid="{7D9BFD68-3BF1-42CB-AA23-03522A3C7923}"/>
    <hyperlink ref="B79" location="top_CS" display="Top" xr:uid="{1145ADDE-2CB2-4183-883C-B868AC1C7983}"/>
    <hyperlink ref="B769" location="top_CS" display="Top" xr:uid="{C310AC3D-0F4F-4A28-A8E3-E8F0630BBF86}"/>
    <hyperlink ref="B43" location="top_CS" display="Top" xr:uid="{F3874F64-F9C2-4D53-8A2D-1DB7BF2FB902}"/>
    <hyperlink ref="B592" location="Loading_name_spot_CS" display="Jump Dn" xr:uid="{A747104E-A4F6-445C-B036-93C9C42F83CE}"/>
    <hyperlink ref="B206" location="End_dozer_rates_CS" display="End Dozers" xr:uid="{2EF7A5F6-D2B0-48E5-B214-AF0BF0C3FAC6}"/>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BB59D-6C24-41D8-AFC2-FA11072A68ED}">
  <sheetPr codeName="Sheet16">
    <tabColor theme="5" tint="0.39997558519241921"/>
  </sheetPr>
  <dimension ref="B1:AM214"/>
  <sheetViews>
    <sheetView showGridLines="0" zoomScaleNormal="100" workbookViewId="0">
      <pane ySplit="5" topLeftCell="A6" activePane="bottomLeft" state="frozen"/>
      <selection pane="bottomLeft"/>
    </sheetView>
  </sheetViews>
  <sheetFormatPr defaultColWidth="8.7109375" defaultRowHeight="12.75"/>
  <cols>
    <col min="1" max="1" width="3.42578125" customWidth="1"/>
    <col min="2" max="2" width="60.5703125" customWidth="1"/>
    <col min="3" max="3" width="13.140625" customWidth="1"/>
    <col min="4" max="4" width="13.85546875" style="699" customWidth="1"/>
    <col min="5" max="5" width="72.28515625" style="700" customWidth="1"/>
    <col min="6" max="6" width="64.7109375" customWidth="1"/>
    <col min="7" max="7" width="10.140625" style="699" customWidth="1"/>
    <col min="8" max="12" width="13.85546875" style="699" customWidth="1"/>
    <col min="13" max="13" width="21.5703125" customWidth="1"/>
    <col min="14" max="14" width="13.140625" style="699" customWidth="1"/>
    <col min="15" max="15" width="14.42578125" customWidth="1"/>
    <col min="16" max="16" width="15.140625" style="699" customWidth="1"/>
    <col min="17" max="19" width="15.140625" customWidth="1"/>
    <col min="20" max="37" width="15.140625" style="699" customWidth="1"/>
    <col min="38" max="38" width="15.140625" customWidth="1"/>
    <col min="39" max="39" width="134.28515625" customWidth="1"/>
  </cols>
  <sheetData>
    <row r="1" spans="2:38">
      <c r="E1" s="699"/>
    </row>
    <row r="2" spans="2:38" ht="15">
      <c r="B2" s="318" t="str">
        <f>Name_main</f>
        <v>Rehabilitation Cost Estimate Tool - Mining New South Wales</v>
      </c>
      <c r="G2"/>
      <c r="H2" s="701"/>
      <c r="I2" s="701"/>
      <c r="J2" s="701"/>
      <c r="K2" s="701"/>
      <c r="M2" s="702" t="s">
        <v>2219</v>
      </c>
      <c r="N2" s="703"/>
      <c r="O2" s="704" t="s">
        <v>2220</v>
      </c>
    </row>
    <row r="3" spans="2:38" ht="15">
      <c r="B3" s="259" t="s">
        <v>1</v>
      </c>
      <c r="F3" s="699"/>
      <c r="G3"/>
      <c r="M3" s="702" t="s">
        <v>2221</v>
      </c>
      <c r="N3" s="705">
        <v>0.03</v>
      </c>
      <c r="O3" s="704" t="s">
        <v>2220</v>
      </c>
      <c r="P3" s="307"/>
    </row>
    <row r="4" spans="2:38" ht="15">
      <c r="E4" s="699"/>
      <c r="G4"/>
      <c r="M4" s="702" t="s">
        <v>2222</v>
      </c>
      <c r="N4" s="706">
        <f>1*(1+N3)^N2</f>
        <v>1</v>
      </c>
      <c r="O4" s="707">
        <v>45686</v>
      </c>
      <c r="P4" s="708" t="s">
        <v>2223</v>
      </c>
      <c r="Q4" s="699"/>
      <c r="R4" s="699"/>
      <c r="S4" s="699"/>
      <c r="AJ4" s="707" t="s">
        <v>2224</v>
      </c>
      <c r="AK4" s="709">
        <f>1.03^4</f>
        <v>1.1255088099999999</v>
      </c>
      <c r="AL4" s="699"/>
    </row>
    <row r="5" spans="2:38" ht="38.25">
      <c r="B5" s="710" t="s">
        <v>55</v>
      </c>
      <c r="C5" s="710" t="s">
        <v>2225</v>
      </c>
      <c r="D5" s="710" t="s">
        <v>353</v>
      </c>
      <c r="E5" s="711" t="s">
        <v>124</v>
      </c>
      <c r="F5" s="712" t="s">
        <v>755</v>
      </c>
      <c r="G5" s="713" t="s">
        <v>2226</v>
      </c>
      <c r="H5" s="714" t="s">
        <v>2227</v>
      </c>
      <c r="I5" s="714" t="s">
        <v>2228</v>
      </c>
      <c r="J5" s="714" t="s">
        <v>2229</v>
      </c>
      <c r="K5" s="714" t="s">
        <v>2230</v>
      </c>
      <c r="L5" s="714" t="s">
        <v>2231</v>
      </c>
      <c r="M5" s="714" t="s">
        <v>2232</v>
      </c>
      <c r="N5" s="714" t="s">
        <v>2233</v>
      </c>
      <c r="O5" s="714" t="s">
        <v>2234</v>
      </c>
      <c r="P5" s="714" t="s">
        <v>2235</v>
      </c>
      <c r="Q5" s="714" t="s">
        <v>2236</v>
      </c>
      <c r="R5" s="714" t="s">
        <v>2237</v>
      </c>
      <c r="S5" s="714" t="s">
        <v>2238</v>
      </c>
      <c r="T5" s="714" t="s">
        <v>2239</v>
      </c>
      <c r="U5" s="714" t="s">
        <v>2240</v>
      </c>
      <c r="V5" s="714" t="s">
        <v>2241</v>
      </c>
      <c r="W5" s="714" t="s">
        <v>2242</v>
      </c>
      <c r="X5" s="714" t="s">
        <v>2243</v>
      </c>
      <c r="Y5" s="714" t="s">
        <v>2244</v>
      </c>
      <c r="Z5" s="714" t="s">
        <v>2245</v>
      </c>
      <c r="AA5" s="714" t="s">
        <v>2246</v>
      </c>
      <c r="AB5" s="714" t="s">
        <v>2247</v>
      </c>
      <c r="AC5" s="714" t="s">
        <v>2248</v>
      </c>
      <c r="AD5" s="714" t="s">
        <v>2249</v>
      </c>
      <c r="AE5" s="714" t="s">
        <v>2250</v>
      </c>
      <c r="AF5" s="714" t="s">
        <v>2251</v>
      </c>
      <c r="AG5" s="714" t="s">
        <v>2252</v>
      </c>
      <c r="AH5" s="714" t="s">
        <v>2253</v>
      </c>
      <c r="AI5" s="714" t="s">
        <v>2254</v>
      </c>
      <c r="AJ5" s="714" t="s">
        <v>2255</v>
      </c>
      <c r="AK5" s="714" t="s">
        <v>2256</v>
      </c>
      <c r="AL5" s="714" t="s">
        <v>2257</v>
      </c>
    </row>
    <row r="6" spans="2:38" s="231" customFormat="1" ht="15" customHeight="1">
      <c r="B6" s="715" t="s">
        <v>2258</v>
      </c>
      <c r="C6" s="679"/>
      <c r="D6" s="679"/>
      <c r="E6" s="679"/>
      <c r="F6" s="679"/>
    </row>
    <row r="7" spans="2:38" s="231" customFormat="1" ht="15" customHeight="1">
      <c r="B7" s="716" t="s">
        <v>2259</v>
      </c>
      <c r="C7" s="717">
        <v>255</v>
      </c>
      <c r="D7" s="718" t="s">
        <v>2260</v>
      </c>
      <c r="E7" s="719" t="s">
        <v>2261</v>
      </c>
      <c r="F7" s="718" t="s">
        <v>2262</v>
      </c>
      <c r="H7" s="720">
        <v>88.637122365583537</v>
      </c>
      <c r="I7" s="721">
        <v>0.53279387580902637</v>
      </c>
      <c r="J7" s="722">
        <v>166.36287763441646</v>
      </c>
      <c r="K7" s="722">
        <v>202.86858735630139</v>
      </c>
      <c r="L7" s="722">
        <v>255</v>
      </c>
      <c r="M7" s="723" t="s">
        <v>2235</v>
      </c>
      <c r="N7" s="717">
        <v>255</v>
      </c>
      <c r="O7" s="724">
        <v>45686</v>
      </c>
      <c r="P7" s="725">
        <v>255</v>
      </c>
      <c r="Q7" s="725"/>
      <c r="R7" s="725"/>
      <c r="S7" s="725"/>
      <c r="T7" s="725"/>
      <c r="U7" s="725"/>
      <c r="V7" s="725"/>
      <c r="W7" s="725"/>
      <c r="X7" s="725"/>
      <c r="Y7" s="725"/>
      <c r="Z7" s="725"/>
      <c r="AA7" s="725"/>
      <c r="AB7" s="725"/>
      <c r="AC7" s="725"/>
      <c r="AD7" s="725"/>
      <c r="AE7" s="725"/>
      <c r="AF7" s="725"/>
      <c r="AG7" s="725"/>
      <c r="AH7" s="725"/>
      <c r="AI7" s="725"/>
      <c r="AJ7" s="725">
        <v>166.36287763441646</v>
      </c>
      <c r="AK7" s="725">
        <v>187.24288443448768</v>
      </c>
      <c r="AL7" s="725"/>
    </row>
    <row r="8" spans="2:38" s="231" customFormat="1" ht="15" customHeight="1">
      <c r="B8" s="716" t="s">
        <v>2263</v>
      </c>
      <c r="C8" s="717">
        <v>270</v>
      </c>
      <c r="D8" s="718" t="s">
        <v>2260</v>
      </c>
      <c r="E8" s="719" t="s">
        <v>2264</v>
      </c>
      <c r="F8" s="718" t="s">
        <v>2262</v>
      </c>
      <c r="H8" s="720">
        <v>88.755027069531991</v>
      </c>
      <c r="I8" s="721">
        <v>0.48969648997427123</v>
      </c>
      <c r="J8" s="722">
        <v>181.24497293046801</v>
      </c>
      <c r="K8" s="722">
        <v>218.41259557730709</v>
      </c>
      <c r="L8" s="722">
        <v>270</v>
      </c>
      <c r="M8" s="723" t="s">
        <v>2235</v>
      </c>
      <c r="N8" s="717">
        <v>270</v>
      </c>
      <c r="O8" s="724">
        <v>45686</v>
      </c>
      <c r="P8" s="725">
        <v>270</v>
      </c>
      <c r="Q8" s="725"/>
      <c r="R8" s="725"/>
      <c r="S8" s="725"/>
      <c r="T8" s="725"/>
      <c r="U8" s="725"/>
      <c r="V8" s="725"/>
      <c r="W8" s="725"/>
      <c r="X8" s="725"/>
      <c r="Y8" s="725"/>
      <c r="Z8" s="725"/>
      <c r="AA8" s="725"/>
      <c r="AB8" s="725"/>
      <c r="AC8" s="725"/>
      <c r="AD8" s="725"/>
      <c r="AE8" s="725"/>
      <c r="AF8" s="725"/>
      <c r="AG8" s="725"/>
      <c r="AH8" s="725"/>
      <c r="AI8" s="725"/>
      <c r="AJ8" s="725">
        <v>181.24497293046801</v>
      </c>
      <c r="AK8" s="725">
        <v>203.99281380145325</v>
      </c>
      <c r="AL8" s="725"/>
    </row>
    <row r="9" spans="2:38" s="231" customFormat="1" ht="15" customHeight="1">
      <c r="B9" s="716" t="s">
        <v>2265</v>
      </c>
      <c r="C9" s="717">
        <v>90</v>
      </c>
      <c r="D9" s="718" t="s">
        <v>2260</v>
      </c>
      <c r="E9" s="719" t="s">
        <v>2264</v>
      </c>
      <c r="F9" s="718" t="s">
        <v>2262</v>
      </c>
      <c r="H9" s="720">
        <v>70</v>
      </c>
      <c r="I9" s="721">
        <v>3.5</v>
      </c>
      <c r="J9" s="722">
        <v>20</v>
      </c>
      <c r="K9" s="722">
        <v>44.170058733333327</v>
      </c>
      <c r="L9" s="722">
        <v>90</v>
      </c>
      <c r="M9" s="723" t="s">
        <v>2235</v>
      </c>
      <c r="N9" s="717">
        <v>90</v>
      </c>
      <c r="O9" s="724">
        <v>45686</v>
      </c>
      <c r="P9" s="725">
        <v>90</v>
      </c>
      <c r="Q9" s="725"/>
      <c r="R9" s="725"/>
      <c r="S9" s="725"/>
      <c r="T9" s="725"/>
      <c r="U9" s="725"/>
      <c r="V9" s="725"/>
      <c r="W9" s="725"/>
      <c r="X9" s="725"/>
      <c r="Y9" s="725"/>
      <c r="Z9" s="725"/>
      <c r="AA9" s="725"/>
      <c r="AB9" s="725"/>
      <c r="AC9" s="725"/>
      <c r="AD9" s="725"/>
      <c r="AE9" s="725"/>
      <c r="AF9" s="725"/>
      <c r="AG9" s="725"/>
      <c r="AH9" s="725"/>
      <c r="AI9" s="725"/>
      <c r="AJ9" s="725">
        <v>20</v>
      </c>
      <c r="AK9" s="725">
        <v>22.510176199999997</v>
      </c>
      <c r="AL9" s="725"/>
    </row>
    <row r="10" spans="2:38" s="231" customFormat="1" ht="15" customHeight="1">
      <c r="B10" s="715" t="s">
        <v>2266</v>
      </c>
      <c r="C10" s="679"/>
      <c r="D10" s="679"/>
      <c r="E10" s="679"/>
      <c r="F10" s="679"/>
    </row>
    <row r="11" spans="2:38" s="231" customFormat="1" ht="15" customHeight="1">
      <c r="B11" s="716" t="s">
        <v>2267</v>
      </c>
      <c r="C11" s="717">
        <v>56.275440499999995</v>
      </c>
      <c r="D11" s="718" t="s">
        <v>219</v>
      </c>
      <c r="E11" s="719"/>
      <c r="F11" s="718"/>
      <c r="H11" s="720">
        <v>6.2754404999999949</v>
      </c>
      <c r="I11" s="721">
        <v>0.12550880999999989</v>
      </c>
      <c r="J11" s="722">
        <v>50</v>
      </c>
      <c r="K11" s="722">
        <v>53.137720250000001</v>
      </c>
      <c r="L11" s="722">
        <v>56.275440499999995</v>
      </c>
      <c r="M11" s="723" t="s">
        <v>2256</v>
      </c>
      <c r="N11" s="717">
        <v>56.275440499999995</v>
      </c>
      <c r="O11" s="724">
        <v>45686</v>
      </c>
      <c r="P11" s="725"/>
      <c r="Q11" s="725"/>
      <c r="R11" s="725"/>
      <c r="S11" s="725"/>
      <c r="T11" s="725"/>
      <c r="U11" s="725"/>
      <c r="V11" s="725"/>
      <c r="W11" s="725"/>
      <c r="X11" s="725"/>
      <c r="Y11" s="725"/>
      <c r="Z11" s="725"/>
      <c r="AA11" s="725"/>
      <c r="AB11" s="725"/>
      <c r="AC11" s="725"/>
      <c r="AD11" s="725"/>
      <c r="AE11" s="725"/>
      <c r="AF11" s="725"/>
      <c r="AG11" s="725"/>
      <c r="AH11" s="725"/>
      <c r="AI11" s="725"/>
      <c r="AJ11" s="725">
        <v>50</v>
      </c>
      <c r="AK11" s="725">
        <v>56.275440499999995</v>
      </c>
      <c r="AL11" s="725"/>
    </row>
    <row r="12" spans="2:38" s="231" customFormat="1" ht="15" customHeight="1">
      <c r="B12" s="716" t="s">
        <v>2268</v>
      </c>
      <c r="C12" s="717">
        <v>1200</v>
      </c>
      <c r="D12" s="718" t="s">
        <v>2269</v>
      </c>
      <c r="E12" s="718" t="s">
        <v>2270</v>
      </c>
      <c r="F12" s="718" t="s">
        <v>2271</v>
      </c>
      <c r="H12" s="720">
        <v>1500</v>
      </c>
      <c r="I12" s="721" t="s">
        <v>2272</v>
      </c>
      <c r="J12" s="722">
        <v>0</v>
      </c>
      <c r="K12" s="722">
        <v>761.0625</v>
      </c>
      <c r="L12" s="722">
        <v>1500</v>
      </c>
      <c r="M12" s="723" t="s">
        <v>2243</v>
      </c>
      <c r="N12" s="717">
        <v>1200</v>
      </c>
      <c r="O12" s="724">
        <v>45686</v>
      </c>
      <c r="P12" s="725"/>
      <c r="Q12" s="725"/>
      <c r="R12" s="725"/>
      <c r="S12" s="725"/>
      <c r="T12" s="725"/>
      <c r="U12" s="725"/>
      <c r="V12" s="725"/>
      <c r="W12" s="725">
        <v>344.25</v>
      </c>
      <c r="X12" s="725">
        <v>1200</v>
      </c>
      <c r="Y12" s="725"/>
      <c r="Z12" s="725"/>
      <c r="AA12" s="725"/>
      <c r="AB12" s="725"/>
      <c r="AC12" s="725"/>
      <c r="AD12" s="725"/>
      <c r="AE12" s="725"/>
      <c r="AF12" s="725"/>
      <c r="AG12" s="725"/>
      <c r="AH12" s="725"/>
      <c r="AI12" s="725"/>
      <c r="AJ12" s="725"/>
      <c r="AK12" s="725">
        <v>0</v>
      </c>
      <c r="AL12" s="725">
        <v>1500</v>
      </c>
    </row>
    <row r="13" spans="2:38" s="231" customFormat="1" ht="15" customHeight="1">
      <c r="B13" s="716" t="s">
        <v>2273</v>
      </c>
      <c r="C13" s="717">
        <v>1200</v>
      </c>
      <c r="D13" s="718" t="s">
        <v>2269</v>
      </c>
      <c r="E13" s="719"/>
      <c r="F13" s="718"/>
      <c r="H13" s="720">
        <v>1200</v>
      </c>
      <c r="I13" s="721" t="s">
        <v>2272</v>
      </c>
      <c r="J13" s="722">
        <v>0</v>
      </c>
      <c r="K13" s="722">
        <v>600</v>
      </c>
      <c r="L13" s="722">
        <v>1200</v>
      </c>
      <c r="M13" s="723" t="s">
        <v>2257</v>
      </c>
      <c r="N13" s="717">
        <v>1200</v>
      </c>
      <c r="O13" s="724">
        <v>45686</v>
      </c>
      <c r="P13" s="725"/>
      <c r="Q13" s="725"/>
      <c r="R13" s="725"/>
      <c r="S13" s="725"/>
      <c r="T13" s="725"/>
      <c r="U13" s="725"/>
      <c r="V13" s="725"/>
      <c r="W13" s="725"/>
      <c r="X13" s="725"/>
      <c r="Y13" s="725"/>
      <c r="Z13" s="725"/>
      <c r="AA13" s="725"/>
      <c r="AB13" s="725"/>
      <c r="AC13" s="725"/>
      <c r="AD13" s="725"/>
      <c r="AE13" s="725"/>
      <c r="AF13" s="725"/>
      <c r="AG13" s="725"/>
      <c r="AH13" s="725"/>
      <c r="AI13" s="725"/>
      <c r="AJ13" s="725"/>
      <c r="AK13" s="725">
        <v>0</v>
      </c>
      <c r="AL13" s="725">
        <v>1200</v>
      </c>
    </row>
    <row r="14" spans="2:38" s="231" customFormat="1" ht="15" customHeight="1">
      <c r="B14" s="716" t="s">
        <v>2274</v>
      </c>
      <c r="C14" s="717">
        <v>5916</v>
      </c>
      <c r="D14" s="718" t="s">
        <v>2269</v>
      </c>
      <c r="E14" s="719" t="s">
        <v>2275</v>
      </c>
      <c r="F14" s="718" t="s">
        <v>2271</v>
      </c>
      <c r="H14" s="720">
        <v>5916</v>
      </c>
      <c r="I14" s="721" t="s">
        <v>2272</v>
      </c>
      <c r="J14" s="722">
        <v>0</v>
      </c>
      <c r="K14" s="722">
        <v>2979</v>
      </c>
      <c r="L14" s="722">
        <v>5916</v>
      </c>
      <c r="M14" s="723" t="s">
        <v>2242</v>
      </c>
      <c r="N14" s="717">
        <v>5916</v>
      </c>
      <c r="O14" s="724">
        <v>45686</v>
      </c>
      <c r="P14" s="725"/>
      <c r="Q14" s="725"/>
      <c r="R14" s="725"/>
      <c r="S14" s="725"/>
      <c r="T14" s="725"/>
      <c r="U14" s="725"/>
      <c r="V14" s="725"/>
      <c r="W14" s="725">
        <v>5916</v>
      </c>
      <c r="X14" s="725">
        <v>5200</v>
      </c>
      <c r="Y14" s="725"/>
      <c r="Z14" s="725"/>
      <c r="AA14" s="725"/>
      <c r="AB14" s="725"/>
      <c r="AC14" s="725"/>
      <c r="AD14" s="725"/>
      <c r="AE14" s="725"/>
      <c r="AF14" s="725"/>
      <c r="AG14" s="725"/>
      <c r="AH14" s="725"/>
      <c r="AI14" s="725"/>
      <c r="AJ14" s="725"/>
      <c r="AK14" s="725">
        <v>0</v>
      </c>
      <c r="AL14" s="725">
        <v>800</v>
      </c>
    </row>
    <row r="15" spans="2:38" s="231" customFormat="1" ht="15" customHeight="1">
      <c r="B15" s="716" t="s">
        <v>2276</v>
      </c>
      <c r="C15" s="717">
        <v>6.92</v>
      </c>
      <c r="D15" s="718" t="s">
        <v>215</v>
      </c>
      <c r="E15" s="719" t="s">
        <v>2277</v>
      </c>
      <c r="F15" s="718" t="s">
        <v>2271</v>
      </c>
      <c r="H15" s="720">
        <v>6.92</v>
      </c>
      <c r="I15" s="721" t="s">
        <v>2272</v>
      </c>
      <c r="J15" s="722">
        <v>0</v>
      </c>
      <c r="K15" s="722">
        <v>3.46</v>
      </c>
      <c r="L15" s="722">
        <v>6.92</v>
      </c>
      <c r="M15" s="723" t="s">
        <v>2242</v>
      </c>
      <c r="N15" s="717">
        <v>6.92</v>
      </c>
      <c r="O15" s="724">
        <v>45721</v>
      </c>
      <c r="P15" s="725"/>
      <c r="Q15" s="725"/>
      <c r="R15" s="725"/>
      <c r="S15" s="725"/>
      <c r="T15" s="725"/>
      <c r="U15" s="725"/>
      <c r="V15" s="725"/>
      <c r="W15" s="725">
        <v>6.92</v>
      </c>
      <c r="X15" s="725"/>
      <c r="Y15" s="725"/>
      <c r="Z15" s="725"/>
      <c r="AA15" s="725"/>
      <c r="AB15" s="725"/>
      <c r="AC15" s="725"/>
      <c r="AD15" s="725"/>
      <c r="AE15" s="725"/>
      <c r="AF15" s="725"/>
      <c r="AG15" s="725"/>
      <c r="AH15" s="725"/>
      <c r="AI15" s="725"/>
      <c r="AJ15" s="725"/>
      <c r="AK15" s="725">
        <v>0</v>
      </c>
      <c r="AL15" s="725"/>
    </row>
    <row r="16" spans="2:38" s="231" customFormat="1" ht="15" customHeight="1">
      <c r="B16" s="716" t="s">
        <v>2278</v>
      </c>
      <c r="C16" s="717">
        <v>3.41</v>
      </c>
      <c r="D16" s="718" t="s">
        <v>215</v>
      </c>
      <c r="E16" s="719" t="s">
        <v>2279</v>
      </c>
      <c r="F16" s="718" t="s">
        <v>2271</v>
      </c>
      <c r="H16" s="720">
        <v>3.41</v>
      </c>
      <c r="I16" s="721" t="s">
        <v>2272</v>
      </c>
      <c r="J16" s="722">
        <v>0</v>
      </c>
      <c r="K16" s="722">
        <v>1.7050000000000001</v>
      </c>
      <c r="L16" s="722">
        <v>3.41</v>
      </c>
      <c r="M16" s="723" t="s">
        <v>2242</v>
      </c>
      <c r="N16" s="717">
        <v>3.41</v>
      </c>
      <c r="O16" s="724">
        <v>45721</v>
      </c>
      <c r="P16" s="725"/>
      <c r="Q16" s="725"/>
      <c r="R16" s="725"/>
      <c r="S16" s="725"/>
      <c r="T16" s="725"/>
      <c r="U16" s="725"/>
      <c r="V16" s="725"/>
      <c r="W16" s="725">
        <v>3.41</v>
      </c>
      <c r="X16" s="725"/>
      <c r="Y16" s="725"/>
      <c r="Z16" s="725"/>
      <c r="AA16" s="725"/>
      <c r="AB16" s="725"/>
      <c r="AC16" s="725"/>
      <c r="AD16" s="725"/>
      <c r="AE16" s="725"/>
      <c r="AF16" s="725"/>
      <c r="AG16" s="725"/>
      <c r="AH16" s="725"/>
      <c r="AI16" s="725"/>
      <c r="AJ16" s="725"/>
      <c r="AK16" s="725">
        <v>0</v>
      </c>
      <c r="AL16" s="725"/>
    </row>
    <row r="17" spans="2:38" s="231" customFormat="1" ht="15" customHeight="1">
      <c r="B17" s="716" t="s">
        <v>2280</v>
      </c>
      <c r="C17" s="717">
        <v>270.5</v>
      </c>
      <c r="D17" s="718" t="s">
        <v>2269</v>
      </c>
      <c r="E17" s="719"/>
      <c r="F17" s="718" t="s">
        <v>2271</v>
      </c>
      <c r="H17" s="720">
        <v>270.5</v>
      </c>
      <c r="I17" s="721" t="s">
        <v>2272</v>
      </c>
      <c r="J17" s="722">
        <v>0</v>
      </c>
      <c r="K17" s="722">
        <v>123.5</v>
      </c>
      <c r="L17" s="722">
        <v>270.5</v>
      </c>
      <c r="M17" s="723" t="s">
        <v>2242</v>
      </c>
      <c r="N17" s="717">
        <v>270.5</v>
      </c>
      <c r="O17" s="724">
        <v>45686</v>
      </c>
      <c r="P17" s="725"/>
      <c r="Q17" s="725"/>
      <c r="R17" s="725"/>
      <c r="S17" s="725"/>
      <c r="T17" s="725"/>
      <c r="U17" s="725"/>
      <c r="V17" s="725"/>
      <c r="W17" s="725">
        <v>270.5</v>
      </c>
      <c r="X17" s="725"/>
      <c r="Y17" s="725"/>
      <c r="Z17" s="725"/>
      <c r="AA17" s="725"/>
      <c r="AB17" s="725"/>
      <c r="AC17" s="725"/>
      <c r="AD17" s="725"/>
      <c r="AE17" s="725"/>
      <c r="AF17" s="725"/>
      <c r="AG17" s="725"/>
      <c r="AH17" s="725"/>
      <c r="AI17" s="725"/>
      <c r="AJ17" s="725"/>
      <c r="AK17" s="725">
        <v>0</v>
      </c>
      <c r="AL17" s="725">
        <v>100</v>
      </c>
    </row>
    <row r="18" spans="2:38" s="231" customFormat="1" ht="15" customHeight="1">
      <c r="B18" s="716" t="s">
        <v>2281</v>
      </c>
      <c r="C18" s="717">
        <v>25.69</v>
      </c>
      <c r="D18" s="718" t="s">
        <v>2282</v>
      </c>
      <c r="E18" s="719"/>
      <c r="F18" s="718" t="s">
        <v>2271</v>
      </c>
      <c r="H18" s="720">
        <v>25.69</v>
      </c>
      <c r="I18" s="721" t="s">
        <v>2272</v>
      </c>
      <c r="J18" s="722">
        <v>0</v>
      </c>
      <c r="K18" s="722">
        <v>11.896666666666667</v>
      </c>
      <c r="L18" s="722">
        <v>25.69</v>
      </c>
      <c r="M18" s="723" t="s">
        <v>2242</v>
      </c>
      <c r="N18" s="717">
        <v>25.69</v>
      </c>
      <c r="O18" s="724">
        <v>45686</v>
      </c>
      <c r="P18" s="725"/>
      <c r="Q18" s="725"/>
      <c r="R18" s="725"/>
      <c r="S18" s="725"/>
      <c r="T18" s="725"/>
      <c r="U18" s="725"/>
      <c r="V18" s="725"/>
      <c r="W18" s="725">
        <v>25.69</v>
      </c>
      <c r="X18" s="725"/>
      <c r="Y18" s="725"/>
      <c r="Z18" s="725"/>
      <c r="AA18" s="725"/>
      <c r="AB18" s="725"/>
      <c r="AC18" s="725"/>
      <c r="AD18" s="725"/>
      <c r="AE18" s="725"/>
      <c r="AF18" s="725"/>
      <c r="AG18" s="725"/>
      <c r="AH18" s="725"/>
      <c r="AI18" s="725"/>
      <c r="AJ18" s="725"/>
      <c r="AK18" s="725">
        <v>0</v>
      </c>
      <c r="AL18" s="725">
        <v>10</v>
      </c>
    </row>
    <row r="19" spans="2:38" s="231" customFormat="1" ht="15" customHeight="1">
      <c r="B19" s="716" t="s">
        <v>2283</v>
      </c>
      <c r="C19" s="717">
        <v>100</v>
      </c>
      <c r="D19" s="718" t="s">
        <v>2284</v>
      </c>
      <c r="E19" s="719"/>
      <c r="F19" s="718" t="s">
        <v>2271</v>
      </c>
      <c r="H19" s="720">
        <v>100</v>
      </c>
      <c r="I19" s="721" t="s">
        <v>2272</v>
      </c>
      <c r="J19" s="720">
        <v>0</v>
      </c>
      <c r="K19" s="720">
        <v>50</v>
      </c>
      <c r="L19" s="720">
        <v>100</v>
      </c>
      <c r="M19" s="723" t="s">
        <v>2243</v>
      </c>
      <c r="N19" s="717">
        <v>100</v>
      </c>
      <c r="O19" s="724">
        <v>45686</v>
      </c>
      <c r="P19" s="725"/>
      <c r="Q19" s="725"/>
      <c r="R19" s="725"/>
      <c r="S19" s="725"/>
      <c r="T19" s="725"/>
      <c r="U19" s="725"/>
      <c r="V19" s="725"/>
      <c r="W19" s="725"/>
      <c r="X19" s="725">
        <v>100</v>
      </c>
      <c r="Y19" s="725"/>
      <c r="Z19" s="725"/>
      <c r="AA19" s="725"/>
      <c r="AB19" s="725"/>
      <c r="AC19" s="725"/>
      <c r="AD19" s="725"/>
      <c r="AE19" s="725"/>
      <c r="AF19" s="725"/>
      <c r="AG19" s="725"/>
      <c r="AH19" s="725"/>
      <c r="AI19" s="725"/>
      <c r="AJ19" s="725"/>
      <c r="AK19" s="725">
        <v>0</v>
      </c>
      <c r="AL19" s="725">
        <v>50</v>
      </c>
    </row>
    <row r="20" spans="2:38" s="231" customFormat="1" ht="15" customHeight="1">
      <c r="B20" s="715" t="s">
        <v>2285</v>
      </c>
      <c r="C20" s="679"/>
      <c r="D20" s="679"/>
      <c r="E20" s="679"/>
      <c r="F20" s="679"/>
    </row>
    <row r="21" spans="2:38" s="231" customFormat="1" ht="15" customHeight="1">
      <c r="B21" s="716" t="s">
        <v>2286</v>
      </c>
      <c r="C21" s="717">
        <v>294</v>
      </c>
      <c r="D21" s="718" t="s">
        <v>2260</v>
      </c>
      <c r="E21" s="719" t="s">
        <v>2261</v>
      </c>
      <c r="F21" s="718" t="s">
        <v>2262</v>
      </c>
      <c r="H21" s="720">
        <v>139.34994339599373</v>
      </c>
      <c r="I21" s="721">
        <v>0.90106622949909621</v>
      </c>
      <c r="J21" s="722">
        <v>154.65005660400627</v>
      </c>
      <c r="K21" s="722">
        <v>207.57001925960466</v>
      </c>
      <c r="L21" s="722">
        <v>294</v>
      </c>
      <c r="M21" s="723" t="s">
        <v>2235</v>
      </c>
      <c r="N21" s="717">
        <v>294</v>
      </c>
      <c r="O21" s="724">
        <v>45686</v>
      </c>
      <c r="P21" s="725">
        <v>294</v>
      </c>
      <c r="Q21" s="725"/>
      <c r="R21" s="725"/>
      <c r="S21" s="725"/>
      <c r="T21" s="725"/>
      <c r="U21" s="725"/>
      <c r="V21" s="725"/>
      <c r="W21" s="725"/>
      <c r="X21" s="725"/>
      <c r="Y21" s="725"/>
      <c r="Z21" s="725"/>
      <c r="AA21" s="725"/>
      <c r="AB21" s="725"/>
      <c r="AC21" s="725"/>
      <c r="AD21" s="725"/>
      <c r="AE21" s="725"/>
      <c r="AF21" s="725"/>
      <c r="AG21" s="725"/>
      <c r="AH21" s="725"/>
      <c r="AI21" s="725"/>
      <c r="AJ21" s="725">
        <v>154.65005660400627</v>
      </c>
      <c r="AK21" s="725">
        <v>174.06000117480772</v>
      </c>
      <c r="AL21" s="725"/>
    </row>
    <row r="22" spans="2:38" s="231" customFormat="1" ht="15" customHeight="1">
      <c r="B22" s="716" t="s">
        <v>2287</v>
      </c>
      <c r="C22" s="717">
        <v>306</v>
      </c>
      <c r="D22" s="718" t="s">
        <v>2260</v>
      </c>
      <c r="E22" s="719" t="s">
        <v>2264</v>
      </c>
      <c r="F22" s="718" t="s">
        <v>2262</v>
      </c>
      <c r="H22" s="720">
        <v>140.83034052307181</v>
      </c>
      <c r="I22" s="721">
        <v>0.85264049686282595</v>
      </c>
      <c r="J22" s="722">
        <v>165.16965947692819</v>
      </c>
      <c r="K22" s="722">
        <v>219.02318878763694</v>
      </c>
      <c r="L22" s="722">
        <v>306</v>
      </c>
      <c r="M22" s="723" t="s">
        <v>2235</v>
      </c>
      <c r="N22" s="717">
        <v>306</v>
      </c>
      <c r="O22" s="724">
        <v>45686</v>
      </c>
      <c r="P22" s="725">
        <v>306</v>
      </c>
      <c r="Q22" s="725"/>
      <c r="R22" s="725"/>
      <c r="S22" s="725"/>
      <c r="T22" s="725"/>
      <c r="U22" s="725"/>
      <c r="V22" s="725"/>
      <c r="W22" s="725"/>
      <c r="X22" s="725"/>
      <c r="Y22" s="725"/>
      <c r="Z22" s="725"/>
      <c r="AA22" s="725"/>
      <c r="AB22" s="725"/>
      <c r="AC22" s="725"/>
      <c r="AD22" s="725"/>
      <c r="AE22" s="725"/>
      <c r="AF22" s="725"/>
      <c r="AG22" s="725"/>
      <c r="AH22" s="725"/>
      <c r="AI22" s="725"/>
      <c r="AJ22" s="725">
        <v>165.16965947692819</v>
      </c>
      <c r="AK22" s="725">
        <v>185.89990688598266</v>
      </c>
      <c r="AL22" s="725"/>
    </row>
    <row r="23" spans="2:38" s="231" customFormat="1" ht="15" customHeight="1">
      <c r="B23" s="716" t="s">
        <v>2288</v>
      </c>
      <c r="C23" s="717">
        <v>318</v>
      </c>
      <c r="D23" s="718" t="s">
        <v>2260</v>
      </c>
      <c r="E23" s="719" t="s">
        <v>2264</v>
      </c>
      <c r="F23" s="718" t="s">
        <v>2262</v>
      </c>
      <c r="H23" s="720">
        <v>160.34349546475548</v>
      </c>
      <c r="I23" s="721">
        <v>1.0170433242664609</v>
      </c>
      <c r="J23" s="722">
        <v>157.65650453524452</v>
      </c>
      <c r="K23" s="722">
        <v>217.70009644782238</v>
      </c>
      <c r="L23" s="722">
        <v>318</v>
      </c>
      <c r="M23" s="723" t="s">
        <v>2235</v>
      </c>
      <c r="N23" s="717">
        <v>318</v>
      </c>
      <c r="O23" s="724">
        <v>45686</v>
      </c>
      <c r="P23" s="725">
        <v>318</v>
      </c>
      <c r="Q23" s="725"/>
      <c r="R23" s="725"/>
      <c r="S23" s="725"/>
      <c r="T23" s="725"/>
      <c r="U23" s="725"/>
      <c r="V23" s="725"/>
      <c r="W23" s="725"/>
      <c r="X23" s="725"/>
      <c r="Y23" s="725"/>
      <c r="Z23" s="725"/>
      <c r="AA23" s="725"/>
      <c r="AB23" s="725"/>
      <c r="AC23" s="725"/>
      <c r="AD23" s="725"/>
      <c r="AE23" s="725"/>
      <c r="AF23" s="725"/>
      <c r="AG23" s="725"/>
      <c r="AH23" s="725"/>
      <c r="AI23" s="725"/>
      <c r="AJ23" s="725">
        <v>157.65650453524452</v>
      </c>
      <c r="AK23" s="725">
        <v>177.44378480822266</v>
      </c>
      <c r="AL23" s="725"/>
    </row>
    <row r="24" spans="2:38" s="231" customFormat="1" ht="15" customHeight="1">
      <c r="B24" s="716" t="s">
        <v>2289</v>
      </c>
      <c r="C24" s="717">
        <v>30</v>
      </c>
      <c r="D24" s="718" t="s">
        <v>2260</v>
      </c>
      <c r="E24" s="718" t="s">
        <v>2264</v>
      </c>
      <c r="F24" s="718" t="s">
        <v>2262</v>
      </c>
      <c r="H24" s="720">
        <v>159.41999413832383</v>
      </c>
      <c r="I24" s="721">
        <v>5.3139998046107939</v>
      </c>
      <c r="J24" s="722">
        <v>30</v>
      </c>
      <c r="K24" s="722">
        <v>129.23906851549677</v>
      </c>
      <c r="L24" s="722">
        <v>189.41999413832383</v>
      </c>
      <c r="M24" s="723" t="s">
        <v>2235</v>
      </c>
      <c r="N24" s="717">
        <v>30</v>
      </c>
      <c r="O24" s="724">
        <v>45686</v>
      </c>
      <c r="P24" s="725">
        <v>30</v>
      </c>
      <c r="Q24" s="725"/>
      <c r="R24" s="725"/>
      <c r="S24" s="725"/>
      <c r="T24" s="725"/>
      <c r="U24" s="725"/>
      <c r="V24" s="725"/>
      <c r="W24" s="725"/>
      <c r="X24" s="725"/>
      <c r="Y24" s="725"/>
      <c r="Z24" s="725"/>
      <c r="AA24" s="725"/>
      <c r="AB24" s="725"/>
      <c r="AC24" s="725"/>
      <c r="AD24" s="725"/>
      <c r="AE24" s="725"/>
      <c r="AF24" s="725"/>
      <c r="AG24" s="725"/>
      <c r="AH24" s="725"/>
      <c r="AI24" s="725"/>
      <c r="AJ24" s="725">
        <v>168.29721140816645</v>
      </c>
      <c r="AK24" s="725">
        <v>189.41999413832383</v>
      </c>
      <c r="AL24" s="725"/>
    </row>
    <row r="25" spans="2:38" s="231" customFormat="1" ht="15" customHeight="1">
      <c r="B25" s="715" t="s">
        <v>1312</v>
      </c>
      <c r="C25" s="679"/>
      <c r="D25" s="679"/>
      <c r="E25" s="679"/>
      <c r="F25" s="679"/>
    </row>
    <row r="26" spans="2:38" s="231" customFormat="1" ht="15" customHeight="1">
      <c r="B26" s="716" t="s">
        <v>2290</v>
      </c>
      <c r="C26" s="717">
        <v>208.33333333333334</v>
      </c>
      <c r="D26" s="718" t="s">
        <v>2260</v>
      </c>
      <c r="E26" s="718"/>
      <c r="F26" s="718"/>
      <c r="H26" s="720">
        <v>208.33333333333334</v>
      </c>
      <c r="I26" s="721" t="s">
        <v>2272</v>
      </c>
      <c r="J26" s="722">
        <v>0</v>
      </c>
      <c r="K26" s="722">
        <v>104.16666666666667</v>
      </c>
      <c r="L26" s="722">
        <v>208.33333333333334</v>
      </c>
      <c r="M26" s="723" t="s">
        <v>2257</v>
      </c>
      <c r="N26" s="717">
        <v>208.33333333333334</v>
      </c>
      <c r="O26" s="724">
        <v>45686</v>
      </c>
      <c r="P26" s="725"/>
      <c r="Q26" s="725"/>
      <c r="R26" s="725"/>
      <c r="S26" s="725"/>
      <c r="T26" s="725"/>
      <c r="U26" s="725"/>
      <c r="V26" s="725"/>
      <c r="W26" s="725"/>
      <c r="X26" s="725"/>
      <c r="Y26" s="725"/>
      <c r="Z26" s="725"/>
      <c r="AA26" s="725"/>
      <c r="AB26" s="725"/>
      <c r="AC26" s="725"/>
      <c r="AD26" s="725"/>
      <c r="AE26" s="725"/>
      <c r="AF26" s="725"/>
      <c r="AG26" s="725"/>
      <c r="AH26" s="725"/>
      <c r="AI26" s="725"/>
      <c r="AJ26" s="725"/>
      <c r="AK26" s="725">
        <v>0</v>
      </c>
      <c r="AL26" s="725">
        <v>208.33333333333334</v>
      </c>
    </row>
    <row r="27" spans="2:38" s="231" customFormat="1" ht="15" customHeight="1">
      <c r="B27" s="715" t="s">
        <v>2291</v>
      </c>
      <c r="C27" s="679"/>
      <c r="D27" s="679"/>
      <c r="E27" s="679"/>
      <c r="F27" s="679"/>
    </row>
    <row r="28" spans="2:38" s="231" customFormat="1" ht="15" customHeight="1">
      <c r="B28" s="716" t="s">
        <v>2292</v>
      </c>
      <c r="C28" s="717">
        <v>160</v>
      </c>
      <c r="D28" s="718" t="s">
        <v>2260</v>
      </c>
      <c r="E28" s="718" t="s">
        <v>2293</v>
      </c>
      <c r="F28" s="718" t="s">
        <v>2294</v>
      </c>
      <c r="H28" s="720">
        <v>19.995823017909487</v>
      </c>
      <c r="I28" s="721">
        <v>0.12550880999999986</v>
      </c>
      <c r="J28" s="722">
        <v>159.31808307249116</v>
      </c>
      <c r="K28" s="722">
        <v>166.21066305429727</v>
      </c>
      <c r="L28" s="722">
        <v>179.31390609040065</v>
      </c>
      <c r="M28" s="723" t="s">
        <v>2244</v>
      </c>
      <c r="N28" s="717">
        <v>160</v>
      </c>
      <c r="O28" s="724">
        <v>45686</v>
      </c>
      <c r="P28" s="725"/>
      <c r="Q28" s="725"/>
      <c r="R28" s="725"/>
      <c r="S28" s="725"/>
      <c r="T28" s="725"/>
      <c r="U28" s="725"/>
      <c r="V28" s="725"/>
      <c r="W28" s="725"/>
      <c r="X28" s="725"/>
      <c r="Y28" s="725">
        <v>160</v>
      </c>
      <c r="Z28" s="725"/>
      <c r="AA28" s="725"/>
      <c r="AB28" s="725"/>
      <c r="AC28" s="725"/>
      <c r="AD28" s="725"/>
      <c r="AE28" s="725"/>
      <c r="AF28" s="725"/>
      <c r="AG28" s="725"/>
      <c r="AH28" s="725"/>
      <c r="AI28" s="725"/>
      <c r="AJ28" s="725">
        <v>159.31808307249116</v>
      </c>
      <c r="AK28" s="725">
        <v>179.31390609040065</v>
      </c>
      <c r="AL28" s="725"/>
    </row>
    <row r="29" spans="2:38" s="231" customFormat="1" ht="15" customHeight="1">
      <c r="B29" s="716" t="s">
        <v>2295</v>
      </c>
      <c r="C29" s="717">
        <v>200</v>
      </c>
      <c r="D29" s="718" t="s">
        <v>2260</v>
      </c>
      <c r="E29" s="718" t="s">
        <v>2293</v>
      </c>
      <c r="F29" s="718" t="s">
        <v>2294</v>
      </c>
      <c r="H29" s="720">
        <v>23.524497668128816</v>
      </c>
      <c r="I29" s="721">
        <v>0.12550880999999989</v>
      </c>
      <c r="J29" s="722">
        <v>187.43303890881316</v>
      </c>
      <c r="K29" s="722">
        <v>199.46352516191837</v>
      </c>
      <c r="L29" s="722">
        <v>210.95753657694198</v>
      </c>
      <c r="M29" s="723" t="s">
        <v>2244</v>
      </c>
      <c r="N29" s="717">
        <v>200</v>
      </c>
      <c r="O29" s="724">
        <v>45686</v>
      </c>
      <c r="P29" s="725"/>
      <c r="Q29" s="725"/>
      <c r="R29" s="725"/>
      <c r="S29" s="725"/>
      <c r="T29" s="725"/>
      <c r="U29" s="725"/>
      <c r="V29" s="725"/>
      <c r="W29" s="725"/>
      <c r="X29" s="725"/>
      <c r="Y29" s="725">
        <v>200</v>
      </c>
      <c r="Z29" s="725"/>
      <c r="AA29" s="725"/>
      <c r="AB29" s="725"/>
      <c r="AC29" s="725"/>
      <c r="AD29" s="725"/>
      <c r="AE29" s="725"/>
      <c r="AF29" s="725"/>
      <c r="AG29" s="725"/>
      <c r="AH29" s="725"/>
      <c r="AI29" s="725"/>
      <c r="AJ29" s="725">
        <v>187.43303890881316</v>
      </c>
      <c r="AK29" s="725">
        <v>210.95753657694198</v>
      </c>
      <c r="AL29" s="725"/>
    </row>
    <row r="30" spans="2:38" s="231" customFormat="1" ht="15" customHeight="1">
      <c r="B30" s="716" t="s">
        <v>2296</v>
      </c>
      <c r="C30" s="717">
        <v>240</v>
      </c>
      <c r="D30" s="718" t="s">
        <v>2260</v>
      </c>
      <c r="E30" s="718" t="s">
        <v>2293</v>
      </c>
      <c r="F30" s="718" t="s">
        <v>2294</v>
      </c>
      <c r="H30" s="720">
        <v>28.22939720175458</v>
      </c>
      <c r="I30" s="721">
        <v>0.12550880999999992</v>
      </c>
      <c r="J30" s="722">
        <v>224.91964669057575</v>
      </c>
      <c r="K30" s="722">
        <v>239.35623019430204</v>
      </c>
      <c r="L30" s="722">
        <v>253.14904389233033</v>
      </c>
      <c r="M30" s="723" t="s">
        <v>2244</v>
      </c>
      <c r="N30" s="717">
        <v>240</v>
      </c>
      <c r="O30" s="724">
        <v>45686</v>
      </c>
      <c r="P30" s="725"/>
      <c r="Q30" s="725"/>
      <c r="R30" s="725"/>
      <c r="S30" s="725"/>
      <c r="T30" s="725"/>
      <c r="U30" s="725"/>
      <c r="V30" s="725"/>
      <c r="W30" s="725"/>
      <c r="X30" s="725"/>
      <c r="Y30" s="725">
        <v>240</v>
      </c>
      <c r="Z30" s="725"/>
      <c r="AA30" s="725"/>
      <c r="AB30" s="725"/>
      <c r="AC30" s="725"/>
      <c r="AD30" s="725"/>
      <c r="AE30" s="725"/>
      <c r="AF30" s="725"/>
      <c r="AG30" s="725"/>
      <c r="AH30" s="725"/>
      <c r="AI30" s="725"/>
      <c r="AJ30" s="725">
        <v>224.91964669057575</v>
      </c>
      <c r="AK30" s="725">
        <v>253.14904389233033</v>
      </c>
      <c r="AL30" s="725"/>
    </row>
    <row r="31" spans="2:38" s="231" customFormat="1" ht="15" customHeight="1">
      <c r="B31" s="716" t="s">
        <v>2297</v>
      </c>
      <c r="C31" s="717">
        <v>320</v>
      </c>
      <c r="D31" s="718" t="s">
        <v>2260</v>
      </c>
      <c r="E31" s="718" t="s">
        <v>2293</v>
      </c>
      <c r="F31" s="718" t="s">
        <v>2294</v>
      </c>
      <c r="H31" s="720">
        <v>66.965397473102172</v>
      </c>
      <c r="I31" s="721">
        <v>0.26464916973552532</v>
      </c>
      <c r="J31" s="722">
        <v>253.03460252689783</v>
      </c>
      <c r="K31" s="722">
        <v>285.94242563525654</v>
      </c>
      <c r="L31" s="722">
        <v>320</v>
      </c>
      <c r="M31" s="723" t="s">
        <v>2244</v>
      </c>
      <c r="N31" s="717">
        <v>320</v>
      </c>
      <c r="O31" s="724">
        <v>45686</v>
      </c>
      <c r="P31" s="725"/>
      <c r="Q31" s="725"/>
      <c r="R31" s="725"/>
      <c r="S31" s="725"/>
      <c r="T31" s="725"/>
      <c r="U31" s="725"/>
      <c r="V31" s="725"/>
      <c r="W31" s="725"/>
      <c r="X31" s="725"/>
      <c r="Y31" s="725">
        <v>320</v>
      </c>
      <c r="Z31" s="725"/>
      <c r="AA31" s="725"/>
      <c r="AB31" s="725"/>
      <c r="AC31" s="725"/>
      <c r="AD31" s="725"/>
      <c r="AE31" s="725"/>
      <c r="AF31" s="725"/>
      <c r="AG31" s="725"/>
      <c r="AH31" s="725"/>
      <c r="AI31" s="725"/>
      <c r="AJ31" s="725">
        <v>253.03460252689783</v>
      </c>
      <c r="AK31" s="725">
        <v>284.79267437887177</v>
      </c>
      <c r="AL31" s="725"/>
    </row>
    <row r="32" spans="2:38" s="231" customFormat="1" ht="15" customHeight="1">
      <c r="B32" s="716" t="s">
        <v>2298</v>
      </c>
      <c r="C32" s="717">
        <v>200</v>
      </c>
      <c r="D32" s="718" t="s">
        <v>2260</v>
      </c>
      <c r="E32" s="719"/>
      <c r="F32" s="718" t="s">
        <v>2294</v>
      </c>
      <c r="H32" s="720">
        <v>74.244797550024714</v>
      </c>
      <c r="I32" s="721">
        <v>0.37122398775012355</v>
      </c>
      <c r="J32" s="722">
        <v>200</v>
      </c>
      <c r="K32" s="722">
        <v>239.30258271049397</v>
      </c>
      <c r="L32" s="722">
        <v>274.24479755002471</v>
      </c>
      <c r="M32" s="723" t="s">
        <v>2244</v>
      </c>
      <c r="N32" s="717">
        <v>200</v>
      </c>
      <c r="O32" s="724">
        <v>45686</v>
      </c>
      <c r="P32" s="725"/>
      <c r="Q32" s="725"/>
      <c r="R32" s="725"/>
      <c r="S32" s="725"/>
      <c r="T32" s="725"/>
      <c r="U32" s="725"/>
      <c r="V32" s="725"/>
      <c r="W32" s="725"/>
      <c r="X32" s="725"/>
      <c r="Y32" s="725">
        <v>200</v>
      </c>
      <c r="Z32" s="725"/>
      <c r="AA32" s="725"/>
      <c r="AB32" s="725"/>
      <c r="AC32" s="725"/>
      <c r="AD32" s="725"/>
      <c r="AE32" s="725"/>
      <c r="AF32" s="725"/>
      <c r="AG32" s="725"/>
      <c r="AH32" s="725"/>
      <c r="AI32" s="725"/>
      <c r="AJ32" s="725">
        <v>243.66295058145721</v>
      </c>
      <c r="AK32" s="725">
        <v>274.24479755002471</v>
      </c>
      <c r="AL32" s="725"/>
    </row>
    <row r="33" spans="2:38" s="231" customFormat="1" ht="15" customHeight="1">
      <c r="B33" s="716" t="s">
        <v>2299</v>
      </c>
      <c r="C33" s="717">
        <v>450</v>
      </c>
      <c r="D33" s="718" t="s">
        <v>2260</v>
      </c>
      <c r="E33" s="719"/>
      <c r="F33" s="718" t="s">
        <v>2294</v>
      </c>
      <c r="H33" s="720">
        <v>56.390618291492331</v>
      </c>
      <c r="I33" s="721">
        <v>0.14326543246180323</v>
      </c>
      <c r="J33" s="722">
        <v>393.60938170850767</v>
      </c>
      <c r="K33" s="722">
        <v>428.87340284002863</v>
      </c>
      <c r="L33" s="722">
        <v>450</v>
      </c>
      <c r="M33" s="723" t="s">
        <v>2244</v>
      </c>
      <c r="N33" s="717">
        <v>450</v>
      </c>
      <c r="O33" s="724">
        <v>45686</v>
      </c>
      <c r="P33" s="725"/>
      <c r="Q33" s="725"/>
      <c r="R33" s="725"/>
      <c r="S33" s="725"/>
      <c r="T33" s="725"/>
      <c r="U33" s="725"/>
      <c r="V33" s="725"/>
      <c r="W33" s="725"/>
      <c r="X33" s="725"/>
      <c r="Y33" s="725">
        <v>450</v>
      </c>
      <c r="Z33" s="725"/>
      <c r="AA33" s="725"/>
      <c r="AB33" s="725"/>
      <c r="AC33" s="725"/>
      <c r="AD33" s="725"/>
      <c r="AE33" s="725"/>
      <c r="AF33" s="725"/>
      <c r="AG33" s="725"/>
      <c r="AH33" s="725"/>
      <c r="AI33" s="725"/>
      <c r="AJ33" s="725">
        <v>393.60938170850767</v>
      </c>
      <c r="AK33" s="725">
        <v>443.01082681157823</v>
      </c>
      <c r="AL33" s="725"/>
    </row>
    <row r="34" spans="2:38" s="231" customFormat="1" ht="15" customHeight="1">
      <c r="B34" s="716" t="s">
        <v>2300</v>
      </c>
      <c r="C34" s="717">
        <v>150</v>
      </c>
      <c r="D34" s="718" t="s">
        <v>2260</v>
      </c>
      <c r="E34" s="719"/>
      <c r="F34" s="718" t="s">
        <v>2294</v>
      </c>
      <c r="H34" s="720">
        <v>18.819598134503053</v>
      </c>
      <c r="I34" s="721">
        <v>0.12550880999999986</v>
      </c>
      <c r="J34" s="722">
        <v>149.94643112705054</v>
      </c>
      <c r="K34" s="722">
        <v>156.23748679620141</v>
      </c>
      <c r="L34" s="722">
        <v>168.7660292615536</v>
      </c>
      <c r="M34" s="723" t="s">
        <v>2244</v>
      </c>
      <c r="N34" s="717">
        <v>150</v>
      </c>
      <c r="O34" s="724">
        <v>45686</v>
      </c>
      <c r="P34" s="725"/>
      <c r="Q34" s="725"/>
      <c r="R34" s="725"/>
      <c r="S34" s="725"/>
      <c r="T34" s="725"/>
      <c r="U34" s="725"/>
      <c r="V34" s="725"/>
      <c r="W34" s="725"/>
      <c r="X34" s="725"/>
      <c r="Y34" s="725">
        <v>150</v>
      </c>
      <c r="Z34" s="725"/>
      <c r="AA34" s="725"/>
      <c r="AB34" s="725"/>
      <c r="AC34" s="725"/>
      <c r="AD34" s="725"/>
      <c r="AE34" s="725"/>
      <c r="AF34" s="725"/>
      <c r="AG34" s="725"/>
      <c r="AH34" s="725"/>
      <c r="AI34" s="725"/>
      <c r="AJ34" s="725">
        <v>149.94643112705054</v>
      </c>
      <c r="AK34" s="725">
        <v>168.7660292615536</v>
      </c>
      <c r="AL34" s="725"/>
    </row>
    <row r="35" spans="2:38" s="231" customFormat="1" ht="15" customHeight="1">
      <c r="B35" s="716" t="s">
        <v>2301</v>
      </c>
      <c r="C35" s="717">
        <v>130</v>
      </c>
      <c r="D35" s="718" t="s">
        <v>2260</v>
      </c>
      <c r="E35" s="719"/>
      <c r="F35" s="718" t="s">
        <v>2294</v>
      </c>
      <c r="H35" s="720">
        <v>38.770046059499975</v>
      </c>
      <c r="I35" s="721">
        <v>0.29823112353461517</v>
      </c>
      <c r="J35" s="722">
        <v>130</v>
      </c>
      <c r="K35" s="722">
        <v>149.5733486865</v>
      </c>
      <c r="L35" s="722">
        <v>168.77004605949998</v>
      </c>
      <c r="M35" s="723" t="s">
        <v>2244</v>
      </c>
      <c r="N35" s="717">
        <v>130</v>
      </c>
      <c r="O35" s="724">
        <v>45686</v>
      </c>
      <c r="P35" s="725"/>
      <c r="Q35" s="725"/>
      <c r="R35" s="725"/>
      <c r="S35" s="725"/>
      <c r="T35" s="725"/>
      <c r="U35" s="725"/>
      <c r="V35" s="725"/>
      <c r="W35" s="725"/>
      <c r="X35" s="725"/>
      <c r="Y35" s="725">
        <v>130</v>
      </c>
      <c r="Z35" s="725"/>
      <c r="AA35" s="725"/>
      <c r="AB35" s="725"/>
      <c r="AC35" s="725"/>
      <c r="AD35" s="725"/>
      <c r="AE35" s="725"/>
      <c r="AF35" s="725"/>
      <c r="AG35" s="725"/>
      <c r="AH35" s="725"/>
      <c r="AI35" s="725"/>
      <c r="AJ35" s="725">
        <v>149.94999999999999</v>
      </c>
      <c r="AK35" s="725">
        <v>168.77004605949998</v>
      </c>
      <c r="AL35" s="725"/>
    </row>
    <row r="36" spans="2:38" s="231" customFormat="1" ht="15" customHeight="1">
      <c r="B36" s="716" t="s">
        <v>2302</v>
      </c>
      <c r="C36" s="717">
        <v>180</v>
      </c>
      <c r="D36" s="718" t="s">
        <v>2260</v>
      </c>
      <c r="E36" s="719"/>
      <c r="F36" s="718" t="s">
        <v>2294</v>
      </c>
      <c r="H36" s="720">
        <v>1.9386130366274301</v>
      </c>
      <c r="I36" s="721">
        <v>1.0887329755699393E-2</v>
      </c>
      <c r="J36" s="720">
        <v>178.06138696337257</v>
      </c>
      <c r="K36" s="720">
        <v>179.03069348168628</v>
      </c>
      <c r="L36" s="720">
        <v>180</v>
      </c>
      <c r="M36" s="723" t="s">
        <v>2244</v>
      </c>
      <c r="N36" s="717">
        <v>180</v>
      </c>
      <c r="O36" s="724">
        <v>45686</v>
      </c>
      <c r="P36" s="725"/>
      <c r="Q36" s="725"/>
      <c r="R36" s="725"/>
      <c r="S36" s="725"/>
      <c r="T36" s="725"/>
      <c r="U36" s="725"/>
      <c r="V36" s="725"/>
      <c r="W36" s="725"/>
      <c r="X36" s="725"/>
      <c r="Y36" s="725">
        <v>180</v>
      </c>
      <c r="Z36" s="725"/>
      <c r="AA36" s="725"/>
      <c r="AB36" s="725"/>
      <c r="AC36" s="725"/>
      <c r="AD36" s="725"/>
      <c r="AE36" s="725"/>
      <c r="AF36" s="725"/>
      <c r="AG36" s="725"/>
      <c r="AH36" s="725"/>
      <c r="AI36" s="725"/>
      <c r="AJ36" s="725" t="s">
        <v>2303</v>
      </c>
      <c r="AK36" s="725" t="s">
        <v>2303</v>
      </c>
      <c r="AL36" s="725">
        <v>178.06138696337257</v>
      </c>
    </row>
    <row r="37" spans="2:38" s="231" customFormat="1" ht="15" customHeight="1">
      <c r="B37" s="715" t="s">
        <v>2304</v>
      </c>
      <c r="C37" s="679"/>
      <c r="D37" s="679"/>
      <c r="E37" s="679"/>
      <c r="F37" s="679"/>
    </row>
    <row r="38" spans="2:38" s="231" customFormat="1" ht="15" customHeight="1">
      <c r="B38" s="716" t="s">
        <v>2305</v>
      </c>
      <c r="C38" s="717">
        <v>116.28</v>
      </c>
      <c r="D38" s="718" t="s">
        <v>2260</v>
      </c>
      <c r="E38" s="719" t="s">
        <v>2261</v>
      </c>
      <c r="F38" s="718" t="s">
        <v>2262</v>
      </c>
      <c r="H38" s="720">
        <v>14.594164426799978</v>
      </c>
      <c r="I38" s="721">
        <v>0.1255088099999998</v>
      </c>
      <c r="J38" s="722">
        <v>116.28</v>
      </c>
      <c r="K38" s="722">
        <v>121.14472147559998</v>
      </c>
      <c r="L38" s="722">
        <v>130.87416442679998</v>
      </c>
      <c r="M38" s="723" t="s">
        <v>2235</v>
      </c>
      <c r="N38" s="717">
        <v>116.28</v>
      </c>
      <c r="O38" s="724">
        <v>45686</v>
      </c>
      <c r="P38" s="725">
        <v>116.28</v>
      </c>
      <c r="Q38" s="725"/>
      <c r="R38" s="725"/>
      <c r="S38" s="725"/>
      <c r="T38" s="725"/>
      <c r="U38" s="725"/>
      <c r="V38" s="725"/>
      <c r="W38" s="725"/>
      <c r="X38" s="725"/>
      <c r="Y38" s="725"/>
      <c r="Z38" s="725"/>
      <c r="AA38" s="725"/>
      <c r="AB38" s="725"/>
      <c r="AC38" s="725"/>
      <c r="AD38" s="725"/>
      <c r="AE38" s="725"/>
      <c r="AF38" s="725"/>
      <c r="AG38" s="725"/>
      <c r="AH38" s="725"/>
      <c r="AI38" s="725"/>
      <c r="AJ38" s="725">
        <v>116.28</v>
      </c>
      <c r="AK38" s="725">
        <v>130.87416442679998</v>
      </c>
      <c r="AL38" s="725"/>
    </row>
    <row r="39" spans="2:38" s="231" customFormat="1" ht="15" customHeight="1">
      <c r="B39" s="716" t="s">
        <v>2306</v>
      </c>
      <c r="C39" s="717">
        <v>300</v>
      </c>
      <c r="D39" s="718" t="s">
        <v>2260</v>
      </c>
      <c r="E39" s="719" t="s">
        <v>2261</v>
      </c>
      <c r="F39" s="718" t="s">
        <v>2262</v>
      </c>
      <c r="H39" s="720">
        <v>76.367278571442</v>
      </c>
      <c r="I39" s="721">
        <v>0.34148526245895722</v>
      </c>
      <c r="J39" s="722">
        <v>223.632721428558</v>
      </c>
      <c r="K39" s="722">
        <v>258.44443986689191</v>
      </c>
      <c r="L39" s="722">
        <v>300</v>
      </c>
      <c r="M39" s="723" t="s">
        <v>2235</v>
      </c>
      <c r="N39" s="717">
        <v>300</v>
      </c>
      <c r="O39" s="724">
        <v>45686</v>
      </c>
      <c r="P39" s="725">
        <v>300</v>
      </c>
      <c r="Q39" s="725"/>
      <c r="R39" s="725"/>
      <c r="S39" s="725"/>
      <c r="T39" s="725"/>
      <c r="U39" s="725"/>
      <c r="V39" s="725"/>
      <c r="W39" s="725"/>
      <c r="X39" s="725"/>
      <c r="Y39" s="725"/>
      <c r="Z39" s="725"/>
      <c r="AA39" s="725"/>
      <c r="AB39" s="725"/>
      <c r="AC39" s="725"/>
      <c r="AD39" s="725"/>
      <c r="AE39" s="725"/>
      <c r="AF39" s="725"/>
      <c r="AG39" s="725"/>
      <c r="AH39" s="725"/>
      <c r="AI39" s="725"/>
      <c r="AJ39" s="725">
        <v>223.632721428558</v>
      </c>
      <c r="AK39" s="725">
        <v>251.70059817211779</v>
      </c>
      <c r="AL39" s="725"/>
    </row>
    <row r="40" spans="2:38" s="231" customFormat="1" ht="15" customHeight="1">
      <c r="B40" s="716" t="s">
        <v>2307</v>
      </c>
      <c r="C40" s="717">
        <v>360</v>
      </c>
      <c r="D40" s="718" t="s">
        <v>2260</v>
      </c>
      <c r="E40" s="719" t="s">
        <v>2308</v>
      </c>
      <c r="F40" s="718" t="s">
        <v>2262</v>
      </c>
      <c r="H40" s="720">
        <v>120</v>
      </c>
      <c r="I40" s="721">
        <v>0.5</v>
      </c>
      <c r="J40" s="722">
        <v>240</v>
      </c>
      <c r="K40" s="722">
        <v>284.43143581768362</v>
      </c>
      <c r="L40" s="722">
        <v>360</v>
      </c>
      <c r="M40" s="723" t="s">
        <v>2235</v>
      </c>
      <c r="N40" s="717">
        <v>360</v>
      </c>
      <c r="O40" s="724">
        <v>45686</v>
      </c>
      <c r="P40" s="725">
        <v>360</v>
      </c>
      <c r="Q40" s="725">
        <v>240</v>
      </c>
      <c r="R40" s="725">
        <v>300</v>
      </c>
      <c r="S40" s="725"/>
      <c r="T40" s="725"/>
      <c r="U40" s="725"/>
      <c r="V40" s="725"/>
      <c r="W40" s="725"/>
      <c r="X40" s="725"/>
      <c r="Y40" s="725"/>
      <c r="Z40" s="725"/>
      <c r="AA40" s="725"/>
      <c r="AB40" s="725"/>
      <c r="AC40" s="725"/>
      <c r="AD40" s="725"/>
      <c r="AE40" s="725"/>
      <c r="AF40" s="725"/>
      <c r="AG40" s="725"/>
      <c r="AH40" s="725"/>
      <c r="AI40" s="725"/>
      <c r="AJ40" s="725">
        <v>245.66220409522469</v>
      </c>
      <c r="AK40" s="725">
        <v>276.49497499319347</v>
      </c>
      <c r="AL40" s="725"/>
    </row>
    <row r="41" spans="2:38" s="231" customFormat="1" ht="15" customHeight="1">
      <c r="B41" s="716" t="s">
        <v>2309</v>
      </c>
      <c r="C41" s="717">
        <v>432</v>
      </c>
      <c r="D41" s="718" t="s">
        <v>2260</v>
      </c>
      <c r="E41" s="719" t="s">
        <v>2308</v>
      </c>
      <c r="F41" s="718" t="s">
        <v>2262</v>
      </c>
      <c r="H41" s="720">
        <v>163.77680284560864</v>
      </c>
      <c r="I41" s="721">
        <v>0.61059895110912965</v>
      </c>
      <c r="J41" s="722">
        <v>268.22319715439136</v>
      </c>
      <c r="K41" s="722">
        <v>326.72215371960516</v>
      </c>
      <c r="L41" s="722">
        <v>432</v>
      </c>
      <c r="M41" s="723" t="s">
        <v>2235</v>
      </c>
      <c r="N41" s="717">
        <v>432</v>
      </c>
      <c r="O41" s="724">
        <v>45686</v>
      </c>
      <c r="P41" s="725">
        <v>432</v>
      </c>
      <c r="Q41" s="725">
        <v>277</v>
      </c>
      <c r="R41" s="725">
        <v>354.5</v>
      </c>
      <c r="S41" s="725"/>
      <c r="T41" s="725"/>
      <c r="U41" s="725"/>
      <c r="V41" s="725"/>
      <c r="W41" s="725"/>
      <c r="X41" s="725"/>
      <c r="Y41" s="725"/>
      <c r="Z41" s="725"/>
      <c r="AA41" s="725"/>
      <c r="AB41" s="725"/>
      <c r="AC41" s="725"/>
      <c r="AD41" s="725"/>
      <c r="AE41" s="725"/>
      <c r="AF41" s="725"/>
      <c r="AG41" s="725"/>
      <c r="AH41" s="725"/>
      <c r="AI41" s="725"/>
      <c r="AJ41" s="725">
        <v>268.22319715439136</v>
      </c>
      <c r="AK41" s="725">
        <v>301.88757144363439</v>
      </c>
      <c r="AL41" s="725"/>
    </row>
    <row r="42" spans="2:38" s="231" customFormat="1" ht="15" customHeight="1">
      <c r="B42" s="716" t="s">
        <v>2310</v>
      </c>
      <c r="C42" s="717">
        <v>732</v>
      </c>
      <c r="D42" s="718" t="s">
        <v>2260</v>
      </c>
      <c r="E42" s="719" t="s">
        <v>2308</v>
      </c>
      <c r="F42" s="718" t="s">
        <v>2262</v>
      </c>
      <c r="H42" s="720">
        <v>346.54431251227527</v>
      </c>
      <c r="I42" s="721">
        <v>0.89905097722370841</v>
      </c>
      <c r="J42" s="722">
        <v>385.45568748772473</v>
      </c>
      <c r="K42" s="722">
        <v>530.75789192395314</v>
      </c>
      <c r="L42" s="722">
        <v>732</v>
      </c>
      <c r="M42" s="723" t="s">
        <v>2235</v>
      </c>
      <c r="N42" s="717">
        <v>732</v>
      </c>
      <c r="O42" s="724">
        <v>45686</v>
      </c>
      <c r="P42" s="725">
        <v>732</v>
      </c>
      <c r="Q42" s="725">
        <v>491</v>
      </c>
      <c r="R42" s="725">
        <v>611.5</v>
      </c>
      <c r="S42" s="725"/>
      <c r="T42" s="725"/>
      <c r="U42" s="725"/>
      <c r="V42" s="725"/>
      <c r="W42" s="725"/>
      <c r="X42" s="725"/>
      <c r="Y42" s="725"/>
      <c r="Z42" s="725"/>
      <c r="AA42" s="725"/>
      <c r="AB42" s="725"/>
      <c r="AC42" s="725"/>
      <c r="AD42" s="725"/>
      <c r="AE42" s="725"/>
      <c r="AF42" s="725"/>
      <c r="AG42" s="725"/>
      <c r="AH42" s="725"/>
      <c r="AI42" s="725"/>
      <c r="AJ42" s="725">
        <v>385.45568748772473</v>
      </c>
      <c r="AK42" s="725">
        <v>433.83377213204091</v>
      </c>
      <c r="AL42" s="725"/>
    </row>
    <row r="43" spans="2:38" s="231" customFormat="1" ht="15" customHeight="1">
      <c r="B43" s="726" t="s">
        <v>2311</v>
      </c>
      <c r="C43" s="717">
        <v>42</v>
      </c>
      <c r="D43" s="718" t="s">
        <v>2260</v>
      </c>
      <c r="E43" s="718" t="s">
        <v>2261</v>
      </c>
      <c r="F43" s="718" t="s">
        <v>2262</v>
      </c>
      <c r="H43" s="720">
        <v>233.74965844999997</v>
      </c>
      <c r="I43" s="721">
        <v>5.5654680583333329</v>
      </c>
      <c r="J43" s="722">
        <v>42</v>
      </c>
      <c r="K43" s="722">
        <v>187.58321948333332</v>
      </c>
      <c r="L43" s="722">
        <v>275.74965844999997</v>
      </c>
      <c r="M43" s="723" t="s">
        <v>2235</v>
      </c>
      <c r="N43" s="717">
        <v>42</v>
      </c>
      <c r="O43" s="724">
        <v>45686</v>
      </c>
      <c r="P43" s="725">
        <v>42</v>
      </c>
      <c r="Q43" s="725"/>
      <c r="R43" s="725"/>
      <c r="S43" s="725"/>
      <c r="T43" s="725"/>
      <c r="U43" s="725"/>
      <c r="V43" s="725"/>
      <c r="W43" s="725"/>
      <c r="X43" s="725"/>
      <c r="Y43" s="725"/>
      <c r="Z43" s="725"/>
      <c r="AA43" s="725"/>
      <c r="AB43" s="725"/>
      <c r="AC43" s="725"/>
      <c r="AD43" s="725"/>
      <c r="AE43" s="725"/>
      <c r="AF43" s="725"/>
      <c r="AG43" s="725"/>
      <c r="AH43" s="725"/>
      <c r="AI43" s="725"/>
      <c r="AJ43" s="725">
        <v>245</v>
      </c>
      <c r="AK43" s="725">
        <v>275.74965844999997</v>
      </c>
      <c r="AL43" s="725"/>
    </row>
    <row r="44" spans="2:38" s="231" customFormat="1" ht="15" customHeight="1">
      <c r="B44" s="715" t="s">
        <v>2312</v>
      </c>
      <c r="C44" s="679"/>
      <c r="D44" s="679"/>
      <c r="E44" s="679"/>
      <c r="F44" s="679"/>
    </row>
    <row r="45" spans="2:38" s="231" customFormat="1" ht="15" customHeight="1">
      <c r="B45" s="716" t="s">
        <v>867</v>
      </c>
      <c r="C45" s="727">
        <v>354</v>
      </c>
      <c r="D45" s="728" t="s">
        <v>2260</v>
      </c>
      <c r="E45" s="729" t="s">
        <v>2261</v>
      </c>
      <c r="F45" s="730" t="s">
        <v>2313</v>
      </c>
      <c r="H45" s="720">
        <v>152.42743545879335</v>
      </c>
      <c r="I45" s="721">
        <v>0.75619137855257701</v>
      </c>
      <c r="J45" s="722">
        <v>201.57256454120665</v>
      </c>
      <c r="K45" s="722">
        <v>260.81475392887614</v>
      </c>
      <c r="L45" s="722">
        <v>354</v>
      </c>
      <c r="M45" s="723" t="s">
        <v>2235</v>
      </c>
      <c r="N45" s="717">
        <v>354</v>
      </c>
      <c r="O45" s="724">
        <v>45686</v>
      </c>
      <c r="P45" s="725">
        <v>354</v>
      </c>
      <c r="Q45" s="725"/>
      <c r="R45" s="725"/>
      <c r="S45" s="725"/>
      <c r="T45" s="725"/>
      <c r="U45" s="725"/>
      <c r="V45" s="725"/>
      <c r="W45" s="725"/>
      <c r="X45" s="725"/>
      <c r="Y45" s="725"/>
      <c r="Z45" s="725"/>
      <c r="AA45" s="725"/>
      <c r="AB45" s="725"/>
      <c r="AC45" s="725"/>
      <c r="AD45" s="725"/>
      <c r="AE45" s="725"/>
      <c r="AF45" s="725"/>
      <c r="AG45" s="725"/>
      <c r="AH45" s="725"/>
      <c r="AI45" s="725"/>
      <c r="AJ45" s="725">
        <v>201.57256454120665</v>
      </c>
      <c r="AK45" s="725">
        <v>226.87169724542167</v>
      </c>
      <c r="AL45" s="725"/>
    </row>
    <row r="46" spans="2:38" s="231" customFormat="1" ht="15" customHeight="1">
      <c r="B46" s="716" t="s">
        <v>1472</v>
      </c>
      <c r="C46" s="727">
        <v>378</v>
      </c>
      <c r="D46" s="728" t="s">
        <v>2260</v>
      </c>
      <c r="E46" s="729" t="s">
        <v>2261</v>
      </c>
      <c r="F46" s="730" t="s">
        <v>2314</v>
      </c>
      <c r="H46" s="720">
        <v>155.30664960065195</v>
      </c>
      <c r="I46" s="721">
        <v>0.69740137872166397</v>
      </c>
      <c r="J46" s="722">
        <v>222.69335039934805</v>
      </c>
      <c r="K46" s="722">
        <v>283.77889273407709</v>
      </c>
      <c r="L46" s="722">
        <v>378</v>
      </c>
      <c r="M46" s="723" t="s">
        <v>2235</v>
      </c>
      <c r="N46" s="717">
        <v>378</v>
      </c>
      <c r="O46" s="724">
        <v>45686</v>
      </c>
      <c r="P46" s="725">
        <v>378</v>
      </c>
      <c r="Q46" s="725"/>
      <c r="R46" s="725"/>
      <c r="S46" s="725"/>
      <c r="T46" s="725"/>
      <c r="U46" s="725"/>
      <c r="V46" s="725"/>
      <c r="W46" s="725"/>
      <c r="X46" s="725"/>
      <c r="Y46" s="725"/>
      <c r="Z46" s="725"/>
      <c r="AA46" s="725"/>
      <c r="AB46" s="725"/>
      <c r="AC46" s="725"/>
      <c r="AD46" s="725"/>
      <c r="AE46" s="725"/>
      <c r="AF46" s="725"/>
      <c r="AG46" s="725"/>
      <c r="AH46" s="725"/>
      <c r="AI46" s="725"/>
      <c r="AJ46" s="725">
        <v>222.69335039934805</v>
      </c>
      <c r="AK46" s="725">
        <v>250.64332780288322</v>
      </c>
      <c r="AL46" s="725"/>
    </row>
    <row r="47" spans="2:38" s="231" customFormat="1" ht="15" customHeight="1">
      <c r="B47" s="716" t="s">
        <v>627</v>
      </c>
      <c r="C47" s="727">
        <v>370</v>
      </c>
      <c r="D47" s="728" t="s">
        <v>2260</v>
      </c>
      <c r="E47" s="729" t="s">
        <v>2261</v>
      </c>
      <c r="F47" s="730" t="s">
        <v>2315</v>
      </c>
      <c r="H47" s="720">
        <v>136.87383424917243</v>
      </c>
      <c r="I47" s="721">
        <v>0.51625924533533218</v>
      </c>
      <c r="J47" s="722">
        <v>265.12616575082757</v>
      </c>
      <c r="K47" s="722">
        <v>334.70560021298081</v>
      </c>
      <c r="L47" s="722">
        <v>402</v>
      </c>
      <c r="M47" s="723" t="s">
        <v>2237</v>
      </c>
      <c r="N47" s="717">
        <v>370</v>
      </c>
      <c r="O47" s="724">
        <v>45686</v>
      </c>
      <c r="P47" s="725">
        <v>402</v>
      </c>
      <c r="Q47" s="725">
        <v>338</v>
      </c>
      <c r="R47" s="725">
        <v>370</v>
      </c>
      <c r="S47" s="725"/>
      <c r="T47" s="725"/>
      <c r="U47" s="725"/>
      <c r="V47" s="725"/>
      <c r="W47" s="725"/>
      <c r="X47" s="725"/>
      <c r="Y47" s="725"/>
      <c r="Z47" s="725"/>
      <c r="AA47" s="725"/>
      <c r="AB47" s="725"/>
      <c r="AC47" s="725"/>
      <c r="AD47" s="725"/>
      <c r="AE47" s="725"/>
      <c r="AF47" s="725"/>
      <c r="AG47" s="725"/>
      <c r="AH47" s="725"/>
      <c r="AI47" s="725"/>
      <c r="AJ47" s="725">
        <v>265.12616575082757</v>
      </c>
      <c r="AK47" s="725">
        <v>298.40183531407666</v>
      </c>
      <c r="AL47" s="725"/>
    </row>
    <row r="48" spans="2:38" s="231" customFormat="1" ht="15" customHeight="1">
      <c r="B48" s="716" t="s">
        <v>1474</v>
      </c>
      <c r="C48" s="727">
        <v>444</v>
      </c>
      <c r="D48" s="728" t="s">
        <v>2260</v>
      </c>
      <c r="E48" s="729" t="s">
        <v>2261</v>
      </c>
      <c r="F48" s="730" t="s">
        <v>2313</v>
      </c>
      <c r="H48" s="720">
        <v>126.55145971433177</v>
      </c>
      <c r="I48" s="721">
        <v>0.39865188732778417</v>
      </c>
      <c r="J48" s="722">
        <v>317.44854028566823</v>
      </c>
      <c r="K48" s="722">
        <v>372.9132230329426</v>
      </c>
      <c r="L48" s="722">
        <v>444</v>
      </c>
      <c r="M48" s="723" t="s">
        <v>2235</v>
      </c>
      <c r="N48" s="717">
        <v>444</v>
      </c>
      <c r="O48" s="724">
        <v>45686</v>
      </c>
      <c r="P48" s="725">
        <v>444</v>
      </c>
      <c r="Q48" s="725"/>
      <c r="R48" s="725"/>
      <c r="S48" s="725"/>
      <c r="T48" s="725"/>
      <c r="U48" s="725"/>
      <c r="V48" s="725"/>
      <c r="W48" s="725"/>
      <c r="X48" s="725"/>
      <c r="Y48" s="725"/>
      <c r="Z48" s="725"/>
      <c r="AA48" s="725"/>
      <c r="AB48" s="725"/>
      <c r="AC48" s="725"/>
      <c r="AD48" s="725"/>
      <c r="AE48" s="725"/>
      <c r="AF48" s="725"/>
      <c r="AG48" s="725"/>
      <c r="AH48" s="725"/>
      <c r="AI48" s="725"/>
      <c r="AJ48" s="725">
        <v>317.44854028566823</v>
      </c>
      <c r="AK48" s="725">
        <v>357.2911288131595</v>
      </c>
      <c r="AL48" s="725"/>
    </row>
    <row r="49" spans="2:38" s="231" customFormat="1" ht="15" customHeight="1">
      <c r="B49" s="731" t="s">
        <v>1476</v>
      </c>
      <c r="C49" s="727">
        <v>526.5</v>
      </c>
      <c r="D49" s="728" t="s">
        <v>2260</v>
      </c>
      <c r="E49" s="729" t="s">
        <v>2261</v>
      </c>
      <c r="F49" s="730" t="s">
        <v>2313</v>
      </c>
      <c r="H49" s="720">
        <v>104.15143031301159</v>
      </c>
      <c r="I49" s="721">
        <v>0.24660064645229046</v>
      </c>
      <c r="J49" s="722">
        <v>422.34856968698841</v>
      </c>
      <c r="K49" s="722">
        <v>474.7352019201976</v>
      </c>
      <c r="L49" s="722">
        <v>526.5</v>
      </c>
      <c r="M49" s="723" t="s">
        <v>2235</v>
      </c>
      <c r="N49" s="717">
        <v>526.5</v>
      </c>
      <c r="O49" s="724">
        <v>45686</v>
      </c>
      <c r="P49" s="725">
        <v>526.5</v>
      </c>
      <c r="Q49" s="725"/>
      <c r="R49" s="725"/>
      <c r="S49" s="725"/>
      <c r="T49" s="725"/>
      <c r="U49" s="725"/>
      <c r="V49" s="725"/>
      <c r="W49" s="725"/>
      <c r="X49" s="725"/>
      <c r="Y49" s="725"/>
      <c r="Z49" s="725"/>
      <c r="AA49" s="725"/>
      <c r="AB49" s="725"/>
      <c r="AC49" s="725"/>
      <c r="AD49" s="725"/>
      <c r="AE49" s="725"/>
      <c r="AF49" s="725"/>
      <c r="AG49" s="725"/>
      <c r="AH49" s="725"/>
      <c r="AI49" s="725"/>
      <c r="AJ49" s="725">
        <v>422.34856968698841</v>
      </c>
      <c r="AK49" s="725">
        <v>475.35703607360438</v>
      </c>
      <c r="AL49" s="725"/>
    </row>
    <row r="50" spans="2:38" s="231" customFormat="1" ht="15" customHeight="1">
      <c r="B50" s="716" t="s">
        <v>1478</v>
      </c>
      <c r="C50" s="717">
        <v>804</v>
      </c>
      <c r="D50" s="718" t="s">
        <v>2260</v>
      </c>
      <c r="E50" s="718" t="s">
        <v>2261</v>
      </c>
      <c r="F50" s="718" t="s">
        <v>2313</v>
      </c>
      <c r="H50" s="720">
        <v>257.67643575361888</v>
      </c>
      <c r="I50" s="721">
        <v>0.47165535703931655</v>
      </c>
      <c r="J50" s="722">
        <v>546.32356424638112</v>
      </c>
      <c r="K50" s="722">
        <v>655.07184963876136</v>
      </c>
      <c r="L50" s="722">
        <v>804</v>
      </c>
      <c r="M50" s="723" t="s">
        <v>2235</v>
      </c>
      <c r="N50" s="717">
        <v>804</v>
      </c>
      <c r="O50" s="724">
        <v>45686</v>
      </c>
      <c r="P50" s="725">
        <v>804</v>
      </c>
      <c r="Q50" s="725"/>
      <c r="R50" s="725"/>
      <c r="S50" s="725"/>
      <c r="T50" s="725"/>
      <c r="U50" s="725"/>
      <c r="V50" s="725"/>
      <c r="W50" s="725"/>
      <c r="X50" s="725"/>
      <c r="Y50" s="725"/>
      <c r="Z50" s="725"/>
      <c r="AA50" s="725"/>
      <c r="AB50" s="725"/>
      <c r="AC50" s="725"/>
      <c r="AD50" s="725"/>
      <c r="AE50" s="725"/>
      <c r="AF50" s="725"/>
      <c r="AG50" s="725"/>
      <c r="AH50" s="725"/>
      <c r="AI50" s="725"/>
      <c r="AJ50" s="725">
        <v>546.32356424638112</v>
      </c>
      <c r="AK50" s="725">
        <v>614.89198466990297</v>
      </c>
      <c r="AL50" s="725"/>
    </row>
    <row r="51" spans="2:38" s="231" customFormat="1" ht="15" customHeight="1">
      <c r="B51" s="715" t="s">
        <v>2316</v>
      </c>
      <c r="C51" s="679"/>
      <c r="D51" s="679"/>
      <c r="E51" s="679"/>
      <c r="F51" s="679"/>
    </row>
    <row r="52" spans="2:38" s="231" customFormat="1" ht="15" customHeight="1">
      <c r="B52" s="716" t="s">
        <v>2317</v>
      </c>
      <c r="C52" s="717">
        <v>295</v>
      </c>
      <c r="D52" s="718" t="s">
        <v>2260</v>
      </c>
      <c r="E52" s="719"/>
      <c r="F52" s="718" t="s">
        <v>2262</v>
      </c>
      <c r="H52" s="720">
        <v>45.878443980497963</v>
      </c>
      <c r="I52" s="721">
        <v>0.18416087597376138</v>
      </c>
      <c r="J52" s="722">
        <v>249.12155601950204</v>
      </c>
      <c r="K52" s="722">
        <v>274.83668736012004</v>
      </c>
      <c r="L52" s="722">
        <v>295</v>
      </c>
      <c r="M52" s="723" t="s">
        <v>2238</v>
      </c>
      <c r="N52" s="717">
        <v>295</v>
      </c>
      <c r="O52" s="724">
        <v>45686</v>
      </c>
      <c r="P52" s="725"/>
      <c r="Q52" s="725"/>
      <c r="R52" s="725"/>
      <c r="S52" s="725">
        <v>295</v>
      </c>
      <c r="T52" s="725"/>
      <c r="U52" s="725"/>
      <c r="V52" s="725"/>
      <c r="W52" s="725"/>
      <c r="X52" s="725"/>
      <c r="Y52" s="725"/>
      <c r="Z52" s="725"/>
      <c r="AA52" s="725"/>
      <c r="AB52" s="725"/>
      <c r="AC52" s="725"/>
      <c r="AD52" s="725"/>
      <c r="AE52" s="725"/>
      <c r="AF52" s="725"/>
      <c r="AG52" s="725"/>
      <c r="AH52" s="725"/>
      <c r="AI52" s="725"/>
      <c r="AJ52" s="725">
        <v>249.12155601950204</v>
      </c>
      <c r="AK52" s="725">
        <v>280.38850606085805</v>
      </c>
      <c r="AL52" s="725"/>
    </row>
    <row r="53" spans="2:38" s="231" customFormat="1" ht="15" customHeight="1">
      <c r="B53" s="716" t="s">
        <v>2318</v>
      </c>
      <c r="C53" s="717">
        <v>3000</v>
      </c>
      <c r="D53" s="718" t="s">
        <v>2284</v>
      </c>
      <c r="E53" s="719"/>
      <c r="F53" s="718" t="s">
        <v>2262</v>
      </c>
      <c r="H53" s="720">
        <v>633.59999999999991</v>
      </c>
      <c r="I53" s="721">
        <v>0.2677484787018255</v>
      </c>
      <c r="J53" s="722">
        <v>2366.4</v>
      </c>
      <c r="K53" s="722">
        <v>2676.6013493280002</v>
      </c>
      <c r="L53" s="722">
        <v>3000</v>
      </c>
      <c r="M53" s="723" t="s">
        <v>2238</v>
      </c>
      <c r="N53" s="717">
        <v>3000</v>
      </c>
      <c r="O53" s="724">
        <v>45686</v>
      </c>
      <c r="P53" s="725"/>
      <c r="Q53" s="725"/>
      <c r="R53" s="725"/>
      <c r="S53" s="725">
        <v>3000</v>
      </c>
      <c r="T53" s="725"/>
      <c r="U53" s="725"/>
      <c r="V53" s="725"/>
      <c r="W53" s="725"/>
      <c r="X53" s="725"/>
      <c r="Y53" s="725"/>
      <c r="Z53" s="725"/>
      <c r="AA53" s="725"/>
      <c r="AB53" s="725"/>
      <c r="AC53" s="725"/>
      <c r="AD53" s="725"/>
      <c r="AE53" s="725"/>
      <c r="AF53" s="725"/>
      <c r="AG53" s="725"/>
      <c r="AH53" s="725"/>
      <c r="AI53" s="725"/>
      <c r="AJ53" s="725">
        <v>2366.4</v>
      </c>
      <c r="AK53" s="725">
        <v>2663.404047984</v>
      </c>
      <c r="AL53" s="725"/>
    </row>
    <row r="54" spans="2:38" s="231" customFormat="1" ht="15" customHeight="1">
      <c r="B54" s="715" t="s">
        <v>2319</v>
      </c>
      <c r="C54" s="679"/>
      <c r="D54" s="679"/>
      <c r="E54" s="679"/>
      <c r="F54" s="679"/>
    </row>
    <row r="55" spans="2:38" s="231" customFormat="1" ht="15" customHeight="1">
      <c r="B55" s="716" t="s">
        <v>2320</v>
      </c>
      <c r="C55" s="717">
        <v>255</v>
      </c>
      <c r="D55" s="718" t="s">
        <v>2260</v>
      </c>
      <c r="E55" s="719" t="s">
        <v>2261</v>
      </c>
      <c r="F55" s="718" t="s">
        <v>2262</v>
      </c>
      <c r="H55" s="720">
        <v>78.804297847547957</v>
      </c>
      <c r="I55" s="721">
        <v>0.44725437048040545</v>
      </c>
      <c r="J55" s="722">
        <v>176.19570215245204</v>
      </c>
      <c r="K55" s="722">
        <v>209.83517240305756</v>
      </c>
      <c r="L55" s="722">
        <v>255</v>
      </c>
      <c r="M55" s="723" t="s">
        <v>2235</v>
      </c>
      <c r="N55" s="717">
        <v>255</v>
      </c>
      <c r="O55" s="724">
        <v>45686</v>
      </c>
      <c r="P55" s="725">
        <v>255</v>
      </c>
      <c r="Q55" s="725"/>
      <c r="R55" s="725"/>
      <c r="S55" s="725"/>
      <c r="T55" s="725"/>
      <c r="U55" s="725"/>
      <c r="V55" s="725"/>
      <c r="W55" s="725"/>
      <c r="X55" s="725"/>
      <c r="Y55" s="725"/>
      <c r="Z55" s="725"/>
      <c r="AA55" s="725"/>
      <c r="AB55" s="725"/>
      <c r="AC55" s="725"/>
      <c r="AD55" s="725"/>
      <c r="AE55" s="725"/>
      <c r="AF55" s="725"/>
      <c r="AG55" s="725"/>
      <c r="AH55" s="725"/>
      <c r="AI55" s="725"/>
      <c r="AJ55" s="725">
        <v>176.19570215245204</v>
      </c>
      <c r="AK55" s="725">
        <v>198.30981505672071</v>
      </c>
      <c r="AL55" s="725"/>
    </row>
    <row r="56" spans="2:38" s="231" customFormat="1" ht="15" customHeight="1">
      <c r="B56" s="716" t="s">
        <v>2321</v>
      </c>
      <c r="C56" s="717">
        <v>270</v>
      </c>
      <c r="D56" s="718" t="s">
        <v>2260</v>
      </c>
      <c r="E56" s="719" t="s">
        <v>2261</v>
      </c>
      <c r="F56" s="718" t="s">
        <v>2262</v>
      </c>
      <c r="H56" s="720">
        <v>66.567116232386809</v>
      </c>
      <c r="I56" s="721">
        <v>0.32721905622902248</v>
      </c>
      <c r="J56" s="722">
        <v>203.43288376761319</v>
      </c>
      <c r="K56" s="722">
        <v>234.13279556392263</v>
      </c>
      <c r="L56" s="722">
        <v>270</v>
      </c>
      <c r="M56" s="723" t="s">
        <v>2235</v>
      </c>
      <c r="N56" s="717">
        <v>270</v>
      </c>
      <c r="O56" s="724">
        <v>45686</v>
      </c>
      <c r="P56" s="725">
        <v>270</v>
      </c>
      <c r="Q56" s="725"/>
      <c r="R56" s="725"/>
      <c r="S56" s="725"/>
      <c r="T56" s="725"/>
      <c r="U56" s="725"/>
      <c r="V56" s="725"/>
      <c r="W56" s="725"/>
      <c r="X56" s="725"/>
      <c r="Y56" s="725"/>
      <c r="Z56" s="725"/>
      <c r="AA56" s="725"/>
      <c r="AB56" s="725"/>
      <c r="AC56" s="725"/>
      <c r="AD56" s="725"/>
      <c r="AE56" s="725"/>
      <c r="AF56" s="725"/>
      <c r="AG56" s="725"/>
      <c r="AH56" s="725"/>
      <c r="AI56" s="725"/>
      <c r="AJ56" s="725">
        <v>203.43288376761319</v>
      </c>
      <c r="AK56" s="725">
        <v>228.96550292415463</v>
      </c>
      <c r="AL56" s="725"/>
    </row>
    <row r="57" spans="2:38" s="231" customFormat="1" ht="15" customHeight="1">
      <c r="B57" s="716" t="s">
        <v>2322</v>
      </c>
      <c r="C57" s="717">
        <v>249</v>
      </c>
      <c r="D57" s="718" t="s">
        <v>2260</v>
      </c>
      <c r="E57" s="719" t="s">
        <v>2261</v>
      </c>
      <c r="F57" s="718" t="s">
        <v>2323</v>
      </c>
      <c r="H57" s="720">
        <v>54</v>
      </c>
      <c r="I57" s="721">
        <v>0.24324324324324326</v>
      </c>
      <c r="J57" s="722">
        <v>222</v>
      </c>
      <c r="K57" s="722">
        <v>245.57121644902116</v>
      </c>
      <c r="L57" s="722">
        <v>276</v>
      </c>
      <c r="M57" s="723" t="s">
        <v>2237</v>
      </c>
      <c r="N57" s="717">
        <v>249</v>
      </c>
      <c r="O57" s="724">
        <v>45686</v>
      </c>
      <c r="P57" s="725">
        <v>276</v>
      </c>
      <c r="Q57" s="725">
        <v>222</v>
      </c>
      <c r="R57" s="725">
        <v>249</v>
      </c>
      <c r="S57" s="725"/>
      <c r="T57" s="725"/>
      <c r="U57" s="725"/>
      <c r="V57" s="725"/>
      <c r="W57" s="725"/>
      <c r="X57" s="725"/>
      <c r="Y57" s="725"/>
      <c r="Z57" s="725"/>
      <c r="AA57" s="725"/>
      <c r="AB57" s="725"/>
      <c r="AC57" s="725"/>
      <c r="AD57" s="725"/>
      <c r="AE57" s="725"/>
      <c r="AF57" s="725"/>
      <c r="AG57" s="725"/>
      <c r="AH57" s="725"/>
      <c r="AI57" s="725"/>
      <c r="AJ57" s="725">
        <v>226.23104641241451</v>
      </c>
      <c r="AK57" s="725">
        <v>254.62503583269142</v>
      </c>
      <c r="AL57" s="725"/>
    </row>
    <row r="58" spans="2:38" s="231" customFormat="1" ht="15" customHeight="1">
      <c r="B58" s="716" t="s">
        <v>2324</v>
      </c>
      <c r="C58" s="717">
        <v>292.5</v>
      </c>
      <c r="D58" s="718" t="s">
        <v>2260</v>
      </c>
      <c r="E58" s="719" t="s">
        <v>2261</v>
      </c>
      <c r="F58" s="718" t="s">
        <v>2262</v>
      </c>
      <c r="H58" s="720">
        <v>56.782173912231087</v>
      </c>
      <c r="I58" s="721">
        <v>0.24089045302449205</v>
      </c>
      <c r="J58" s="722">
        <v>235.71782608776891</v>
      </c>
      <c r="K58" s="722">
        <v>264.50677200786686</v>
      </c>
      <c r="L58" s="722">
        <v>292.5</v>
      </c>
      <c r="M58" s="723" t="s">
        <v>2235</v>
      </c>
      <c r="N58" s="717">
        <v>292.5</v>
      </c>
      <c r="O58" s="724">
        <v>45686</v>
      </c>
      <c r="P58" s="725">
        <v>292.5</v>
      </c>
      <c r="Q58" s="725"/>
      <c r="R58" s="725"/>
      <c r="S58" s="725"/>
      <c r="T58" s="725"/>
      <c r="U58" s="725"/>
      <c r="V58" s="725"/>
      <c r="W58" s="725"/>
      <c r="X58" s="725"/>
      <c r="Y58" s="725"/>
      <c r="Z58" s="725"/>
      <c r="AA58" s="725"/>
      <c r="AB58" s="725"/>
      <c r="AC58" s="725"/>
      <c r="AD58" s="725"/>
      <c r="AE58" s="725"/>
      <c r="AF58" s="725"/>
      <c r="AG58" s="725"/>
      <c r="AH58" s="725"/>
      <c r="AI58" s="725"/>
      <c r="AJ58" s="725">
        <v>235.71782608776891</v>
      </c>
      <c r="AK58" s="725">
        <v>265.30248993583172</v>
      </c>
      <c r="AL58" s="725"/>
    </row>
    <row r="59" spans="2:38" s="231" customFormat="1" ht="15" customHeight="1">
      <c r="B59" s="716" t="s">
        <v>2325</v>
      </c>
      <c r="C59" s="717">
        <v>292</v>
      </c>
      <c r="D59" s="718" t="s">
        <v>2260</v>
      </c>
      <c r="E59" s="719" t="s">
        <v>2261</v>
      </c>
      <c r="F59" s="718" t="s">
        <v>2326</v>
      </c>
      <c r="H59" s="720">
        <v>34.152742680929748</v>
      </c>
      <c r="I59" s="721">
        <v>0.12846753818467865</v>
      </c>
      <c r="J59" s="722">
        <v>265.84725731907025</v>
      </c>
      <c r="K59" s="722">
        <v>288.21213750920413</v>
      </c>
      <c r="L59" s="722">
        <v>300</v>
      </c>
      <c r="M59" s="723" t="s">
        <v>2237</v>
      </c>
      <c r="N59" s="717">
        <v>292</v>
      </c>
      <c r="O59" s="724">
        <v>45686</v>
      </c>
      <c r="P59" s="725">
        <v>300</v>
      </c>
      <c r="Q59" s="725">
        <v>284</v>
      </c>
      <c r="R59" s="725">
        <v>292</v>
      </c>
      <c r="S59" s="725"/>
      <c r="T59" s="725"/>
      <c r="U59" s="725"/>
      <c r="V59" s="725"/>
      <c r="W59" s="725"/>
      <c r="X59" s="725"/>
      <c r="Y59" s="725"/>
      <c r="Z59" s="725"/>
      <c r="AA59" s="725"/>
      <c r="AB59" s="725"/>
      <c r="AC59" s="725"/>
      <c r="AD59" s="725"/>
      <c r="AE59" s="725"/>
      <c r="AF59" s="725"/>
      <c r="AG59" s="725"/>
      <c r="AH59" s="725"/>
      <c r="AI59" s="725"/>
      <c r="AJ59" s="725">
        <v>265.84725731907025</v>
      </c>
      <c r="AK59" s="725">
        <v>299.21343022695055</v>
      </c>
      <c r="AL59" s="725"/>
    </row>
    <row r="60" spans="2:38" s="231" customFormat="1" ht="15" customHeight="1">
      <c r="B60" s="716" t="s">
        <v>2327</v>
      </c>
      <c r="C60" s="717">
        <v>456</v>
      </c>
      <c r="D60" s="718" t="s">
        <v>2260</v>
      </c>
      <c r="E60" s="719" t="s">
        <v>2261</v>
      </c>
      <c r="F60" s="718" t="s">
        <v>2262</v>
      </c>
      <c r="H60" s="720">
        <v>151.12273343794811</v>
      </c>
      <c r="I60" s="721">
        <v>0.495683837440828</v>
      </c>
      <c r="J60" s="722">
        <v>304.87726656205189</v>
      </c>
      <c r="K60" s="722">
        <v>368.00643868211984</v>
      </c>
      <c r="L60" s="722">
        <v>456</v>
      </c>
      <c r="M60" s="723" t="s">
        <v>2235</v>
      </c>
      <c r="N60" s="717">
        <v>456</v>
      </c>
      <c r="O60" s="724">
        <v>45686</v>
      </c>
      <c r="P60" s="725">
        <v>456</v>
      </c>
      <c r="Q60" s="725"/>
      <c r="R60" s="725"/>
      <c r="S60" s="725"/>
      <c r="T60" s="725"/>
      <c r="U60" s="725"/>
      <c r="V60" s="725"/>
      <c r="W60" s="725"/>
      <c r="X60" s="725"/>
      <c r="Y60" s="725"/>
      <c r="Z60" s="725"/>
      <c r="AA60" s="725"/>
      <c r="AB60" s="725"/>
      <c r="AC60" s="725"/>
      <c r="AD60" s="725"/>
      <c r="AE60" s="725"/>
      <c r="AF60" s="725"/>
      <c r="AG60" s="725"/>
      <c r="AH60" s="725"/>
      <c r="AI60" s="725"/>
      <c r="AJ60" s="725">
        <v>304.87726656205189</v>
      </c>
      <c r="AK60" s="725">
        <v>343.14204948430779</v>
      </c>
      <c r="AL60" s="725"/>
    </row>
    <row r="61" spans="2:38" s="231" customFormat="1" ht="15" customHeight="1">
      <c r="B61" s="716" t="s">
        <v>2328</v>
      </c>
      <c r="C61" s="717">
        <v>471</v>
      </c>
      <c r="D61" s="718" t="s">
        <v>2260</v>
      </c>
      <c r="E61" s="719" t="s">
        <v>2261</v>
      </c>
      <c r="F61" s="718" t="s">
        <v>2262</v>
      </c>
      <c r="H61" s="720">
        <v>130.66494715158166</v>
      </c>
      <c r="I61" s="721">
        <v>0.38393032412614414</v>
      </c>
      <c r="J61" s="722">
        <v>340.33505284841834</v>
      </c>
      <c r="K61" s="722">
        <v>398.12838439370961</v>
      </c>
      <c r="L61" s="722">
        <v>471</v>
      </c>
      <c r="M61" s="723" t="s">
        <v>2235</v>
      </c>
      <c r="N61" s="717">
        <v>471</v>
      </c>
      <c r="O61" s="724">
        <v>45686</v>
      </c>
      <c r="P61" s="725">
        <v>471</v>
      </c>
      <c r="Q61" s="725"/>
      <c r="R61" s="725"/>
      <c r="S61" s="725"/>
      <c r="T61" s="725"/>
      <c r="U61" s="725"/>
      <c r="V61" s="725"/>
      <c r="W61" s="725"/>
      <c r="X61" s="725"/>
      <c r="Y61" s="725"/>
      <c r="Z61" s="725"/>
      <c r="AA61" s="725"/>
      <c r="AB61" s="725"/>
      <c r="AC61" s="725"/>
      <c r="AD61" s="725"/>
      <c r="AE61" s="725"/>
      <c r="AF61" s="725"/>
      <c r="AG61" s="725"/>
      <c r="AH61" s="725"/>
      <c r="AI61" s="725"/>
      <c r="AJ61" s="725">
        <v>340.33505284841834</v>
      </c>
      <c r="AK61" s="725">
        <v>383.05010033271043</v>
      </c>
      <c r="AL61" s="725"/>
    </row>
    <row r="62" spans="2:38" s="231" customFormat="1" ht="15" customHeight="1">
      <c r="B62" s="716" t="s">
        <v>2329</v>
      </c>
      <c r="C62" s="717">
        <v>654</v>
      </c>
      <c r="D62" s="718" t="s">
        <v>2260</v>
      </c>
      <c r="E62" s="719" t="s">
        <v>2261</v>
      </c>
      <c r="F62" s="718" t="s">
        <v>2262</v>
      </c>
      <c r="H62" s="720">
        <v>203.73512015988081</v>
      </c>
      <c r="I62" s="721">
        <v>0.45247837280185704</v>
      </c>
      <c r="J62" s="722">
        <v>450.26487984011919</v>
      </c>
      <c r="K62" s="722">
        <v>537.01398964458815</v>
      </c>
      <c r="L62" s="722">
        <v>654</v>
      </c>
      <c r="M62" s="723" t="s">
        <v>2235</v>
      </c>
      <c r="N62" s="717">
        <v>654</v>
      </c>
      <c r="O62" s="724">
        <v>45686</v>
      </c>
      <c r="P62" s="725">
        <v>654</v>
      </c>
      <c r="Q62" s="725"/>
      <c r="R62" s="725"/>
      <c r="S62" s="725"/>
      <c r="T62" s="725"/>
      <c r="U62" s="725"/>
      <c r="V62" s="725"/>
      <c r="W62" s="725"/>
      <c r="X62" s="725"/>
      <c r="Y62" s="725"/>
      <c r="Z62" s="725"/>
      <c r="AA62" s="725"/>
      <c r="AB62" s="725"/>
      <c r="AC62" s="725"/>
      <c r="AD62" s="725"/>
      <c r="AE62" s="725"/>
      <c r="AF62" s="725"/>
      <c r="AG62" s="725"/>
      <c r="AH62" s="725"/>
      <c r="AI62" s="725"/>
      <c r="AJ62" s="725">
        <v>450.26487984011919</v>
      </c>
      <c r="AK62" s="725">
        <v>506.77708909364549</v>
      </c>
      <c r="AL62" s="725"/>
    </row>
    <row r="63" spans="2:38" s="231" customFormat="1" ht="15" customHeight="1">
      <c r="B63" s="716" t="s">
        <v>2330</v>
      </c>
      <c r="C63" s="717">
        <v>774</v>
      </c>
      <c r="D63" s="718" t="s">
        <v>2260</v>
      </c>
      <c r="E63" s="719" t="s">
        <v>2261</v>
      </c>
      <c r="F63" s="718" t="s">
        <v>2262</v>
      </c>
      <c r="H63" s="720">
        <v>91.305987574251958</v>
      </c>
      <c r="I63" s="721">
        <v>0.13374364783107379</v>
      </c>
      <c r="J63" s="722">
        <v>682.69401242574804</v>
      </c>
      <c r="K63" s="722">
        <v>741.69071264839238</v>
      </c>
      <c r="L63" s="722">
        <v>774</v>
      </c>
      <c r="M63" s="723" t="s">
        <v>2235</v>
      </c>
      <c r="N63" s="717">
        <v>774</v>
      </c>
      <c r="O63" s="724">
        <v>45686</v>
      </c>
      <c r="P63" s="725">
        <v>774</v>
      </c>
      <c r="Q63" s="725"/>
      <c r="R63" s="725"/>
      <c r="S63" s="725"/>
      <c r="T63" s="725"/>
      <c r="U63" s="725"/>
      <c r="V63" s="725"/>
      <c r="W63" s="725"/>
      <c r="X63" s="725"/>
      <c r="Y63" s="725"/>
      <c r="Z63" s="725"/>
      <c r="AA63" s="725"/>
      <c r="AB63" s="725"/>
      <c r="AC63" s="725"/>
      <c r="AD63" s="725"/>
      <c r="AE63" s="725"/>
      <c r="AF63" s="725"/>
      <c r="AG63" s="725"/>
      <c r="AH63" s="725"/>
      <c r="AI63" s="725"/>
      <c r="AJ63" s="725">
        <v>682.69401242574804</v>
      </c>
      <c r="AK63" s="725">
        <v>768.37812551942886</v>
      </c>
      <c r="AL63" s="725"/>
    </row>
    <row r="64" spans="2:38" s="231" customFormat="1" ht="15" customHeight="1">
      <c r="B64" s="726" t="s">
        <v>2331</v>
      </c>
      <c r="C64" s="717">
        <v>857</v>
      </c>
      <c r="D64" s="718" t="s">
        <v>2260</v>
      </c>
      <c r="E64" s="719" t="s">
        <v>2261</v>
      </c>
      <c r="F64" s="718" t="s">
        <v>2326</v>
      </c>
      <c r="H64" s="720">
        <v>191.48033479643573</v>
      </c>
      <c r="I64" s="721">
        <v>0.23351260341028748</v>
      </c>
      <c r="J64" s="722">
        <v>820</v>
      </c>
      <c r="K64" s="722">
        <v>896.23350229689856</v>
      </c>
      <c r="L64" s="722">
        <v>1011.4803347964357</v>
      </c>
      <c r="M64" s="723" t="s">
        <v>2237</v>
      </c>
      <c r="N64" s="717">
        <v>857</v>
      </c>
      <c r="O64" s="724">
        <v>45686</v>
      </c>
      <c r="P64" s="725">
        <v>894</v>
      </c>
      <c r="Q64" s="725">
        <v>820</v>
      </c>
      <c r="R64" s="725">
        <v>857</v>
      </c>
      <c r="S64" s="725"/>
      <c r="T64" s="725"/>
      <c r="U64" s="725"/>
      <c r="V64" s="725"/>
      <c r="W64" s="725"/>
      <c r="X64" s="725"/>
      <c r="Y64" s="725"/>
      <c r="Z64" s="725"/>
      <c r="AA64" s="725"/>
      <c r="AB64" s="725"/>
      <c r="AC64" s="725"/>
      <c r="AD64" s="725"/>
      <c r="AE64" s="725"/>
      <c r="AF64" s="725"/>
      <c r="AG64" s="725"/>
      <c r="AH64" s="725"/>
      <c r="AI64" s="725"/>
      <c r="AJ64" s="725">
        <v>898.68717668805789</v>
      </c>
      <c r="AK64" s="725">
        <v>1011.4803347964357</v>
      </c>
      <c r="AL64" s="725"/>
    </row>
    <row r="65" spans="2:38" s="231" customFormat="1" ht="15" customHeight="1">
      <c r="B65" s="715" t="s">
        <v>2332</v>
      </c>
      <c r="C65" s="679"/>
      <c r="D65" s="679"/>
      <c r="E65" s="679"/>
      <c r="F65" s="679"/>
    </row>
    <row r="66" spans="2:38" s="231" customFormat="1" ht="15" customHeight="1">
      <c r="B66" s="716" t="s">
        <v>2333</v>
      </c>
      <c r="C66" s="717">
        <v>60</v>
      </c>
      <c r="D66" s="718" t="s">
        <v>2260</v>
      </c>
      <c r="E66" s="719" t="s">
        <v>2261</v>
      </c>
      <c r="F66" s="718" t="s">
        <v>2262</v>
      </c>
      <c r="H66" s="720">
        <v>14.109850382926183</v>
      </c>
      <c r="I66" s="721">
        <v>0.23516417304876971</v>
      </c>
      <c r="J66" s="722">
        <v>60</v>
      </c>
      <c r="K66" s="722">
        <v>66.651830857041887</v>
      </c>
      <c r="L66" s="722">
        <v>74.109850382926183</v>
      </c>
      <c r="M66" s="723" t="s">
        <v>2235</v>
      </c>
      <c r="N66" s="717">
        <v>60</v>
      </c>
      <c r="O66" s="724">
        <v>45686</v>
      </c>
      <c r="P66" s="725">
        <v>60</v>
      </c>
      <c r="Q66" s="725"/>
      <c r="R66" s="725"/>
      <c r="S66" s="725"/>
      <c r="T66" s="725"/>
      <c r="U66" s="725"/>
      <c r="V66" s="725"/>
      <c r="W66" s="725"/>
      <c r="X66" s="725"/>
      <c r="Y66" s="725"/>
      <c r="Z66" s="725"/>
      <c r="AA66" s="725"/>
      <c r="AB66" s="725"/>
      <c r="AC66" s="725"/>
      <c r="AD66" s="725"/>
      <c r="AE66" s="725"/>
      <c r="AF66" s="725"/>
      <c r="AG66" s="725"/>
      <c r="AH66" s="725"/>
      <c r="AI66" s="725"/>
      <c r="AJ66" s="725">
        <v>65.845642188199477</v>
      </c>
      <c r="AK66" s="725">
        <v>74.109850382926183</v>
      </c>
      <c r="AL66" s="725"/>
    </row>
    <row r="67" spans="2:38" s="231" customFormat="1" ht="15" customHeight="1">
      <c r="B67" s="716" t="s">
        <v>2334</v>
      </c>
      <c r="C67" s="717">
        <v>72</v>
      </c>
      <c r="D67" s="718" t="s">
        <v>2260</v>
      </c>
      <c r="E67" s="719" t="s">
        <v>2261</v>
      </c>
      <c r="F67" s="718" t="s">
        <v>2262</v>
      </c>
      <c r="H67" s="720">
        <v>17.896011870378345</v>
      </c>
      <c r="I67" s="721">
        <v>0.24855572042192145</v>
      </c>
      <c r="J67" s="722">
        <v>72</v>
      </c>
      <c r="K67" s="722">
        <v>80.589151358828175</v>
      </c>
      <c r="L67" s="722">
        <v>89.896011870378345</v>
      </c>
      <c r="M67" s="723" t="s">
        <v>2235</v>
      </c>
      <c r="N67" s="717">
        <v>72</v>
      </c>
      <c r="O67" s="724">
        <v>45686</v>
      </c>
      <c r="P67" s="725">
        <v>72</v>
      </c>
      <c r="Q67" s="725"/>
      <c r="R67" s="725"/>
      <c r="S67" s="725"/>
      <c r="T67" s="725"/>
      <c r="U67" s="725"/>
      <c r="V67" s="725"/>
      <c r="W67" s="725"/>
      <c r="X67" s="725"/>
      <c r="Y67" s="725"/>
      <c r="Z67" s="725"/>
      <c r="AA67" s="725"/>
      <c r="AB67" s="725"/>
      <c r="AC67" s="725"/>
      <c r="AD67" s="725"/>
      <c r="AE67" s="725"/>
      <c r="AF67" s="725"/>
      <c r="AG67" s="725"/>
      <c r="AH67" s="725"/>
      <c r="AI67" s="725"/>
      <c r="AJ67" s="725">
        <v>79.871442206106195</v>
      </c>
      <c r="AK67" s="725">
        <v>89.896011870378345</v>
      </c>
      <c r="AL67" s="725"/>
    </row>
    <row r="68" spans="2:38" s="231" customFormat="1" ht="15" customHeight="1">
      <c r="B68" s="716" t="s">
        <v>2335</v>
      </c>
      <c r="C68" s="717">
        <v>84</v>
      </c>
      <c r="D68" s="718" t="s">
        <v>2260</v>
      </c>
      <c r="E68" s="719" t="s">
        <v>2261</v>
      </c>
      <c r="F68" s="718" t="s">
        <v>2262</v>
      </c>
      <c r="H68" s="720">
        <v>33.497676005693364</v>
      </c>
      <c r="I68" s="721">
        <v>0.3987818572106353</v>
      </c>
      <c r="J68" s="722">
        <v>84</v>
      </c>
      <c r="K68" s="722">
        <v>101.96427976564864</v>
      </c>
      <c r="L68" s="722">
        <v>117.49767600569336</v>
      </c>
      <c r="M68" s="723" t="s">
        <v>2235</v>
      </c>
      <c r="N68" s="717">
        <v>84</v>
      </c>
      <c r="O68" s="724">
        <v>45686</v>
      </c>
      <c r="P68" s="725">
        <v>84</v>
      </c>
      <c r="Q68" s="725"/>
      <c r="R68" s="725"/>
      <c r="S68" s="725"/>
      <c r="T68" s="725"/>
      <c r="U68" s="725"/>
      <c r="V68" s="725"/>
      <c r="W68" s="725"/>
      <c r="X68" s="725"/>
      <c r="Y68" s="725"/>
      <c r="Z68" s="725"/>
      <c r="AA68" s="725"/>
      <c r="AB68" s="725"/>
      <c r="AC68" s="725"/>
      <c r="AD68" s="725"/>
      <c r="AE68" s="725"/>
      <c r="AF68" s="725"/>
      <c r="AG68" s="725"/>
      <c r="AH68" s="725"/>
      <c r="AI68" s="725"/>
      <c r="AJ68" s="725">
        <v>104.39516329125257</v>
      </c>
      <c r="AK68" s="725">
        <v>117.49767600569336</v>
      </c>
      <c r="AL68" s="725"/>
    </row>
    <row r="69" spans="2:38" s="231" customFormat="1" ht="15" customHeight="1">
      <c r="B69" s="716" t="s">
        <v>2336</v>
      </c>
      <c r="C69" s="717">
        <v>60</v>
      </c>
      <c r="D69" s="718" t="s">
        <v>2260</v>
      </c>
      <c r="E69" s="719" t="s">
        <v>2261</v>
      </c>
      <c r="F69" s="718" t="s">
        <v>2262</v>
      </c>
      <c r="H69" s="720">
        <v>88.072229505287993</v>
      </c>
      <c r="I69" s="721">
        <v>1.4678704917547998</v>
      </c>
      <c r="J69" s="722">
        <v>60</v>
      </c>
      <c r="K69" s="722">
        <v>113.21082919224523</v>
      </c>
      <c r="L69" s="722">
        <v>148.07222950528799</v>
      </c>
      <c r="M69" s="723" t="s">
        <v>2235</v>
      </c>
      <c r="N69" s="717">
        <v>60</v>
      </c>
      <c r="O69" s="724">
        <v>45686</v>
      </c>
      <c r="P69" s="725">
        <v>60</v>
      </c>
      <c r="Q69" s="725"/>
      <c r="R69" s="725"/>
      <c r="S69" s="725"/>
      <c r="T69" s="725"/>
      <c r="U69" s="725"/>
      <c r="V69" s="725"/>
      <c r="W69" s="725"/>
      <c r="X69" s="725"/>
      <c r="Y69" s="725"/>
      <c r="Z69" s="725"/>
      <c r="AA69" s="725"/>
      <c r="AB69" s="725"/>
      <c r="AC69" s="725"/>
      <c r="AD69" s="725"/>
      <c r="AE69" s="725"/>
      <c r="AF69" s="725"/>
      <c r="AG69" s="725"/>
      <c r="AH69" s="725"/>
      <c r="AI69" s="725"/>
      <c r="AJ69" s="725">
        <v>131.56025807144772</v>
      </c>
      <c r="AK69" s="725">
        <v>148.07222950528799</v>
      </c>
      <c r="AL69" s="725"/>
    </row>
    <row r="70" spans="2:38" s="231" customFormat="1" ht="15" customHeight="1">
      <c r="B70" s="716" t="s">
        <v>2337</v>
      </c>
      <c r="C70" s="717">
        <v>72</v>
      </c>
      <c r="D70" s="718" t="s">
        <v>2260</v>
      </c>
      <c r="E70" s="719" t="s">
        <v>2261</v>
      </c>
      <c r="F70" s="718" t="s">
        <v>2262</v>
      </c>
      <c r="H70" s="720">
        <v>148.79053042213872</v>
      </c>
      <c r="I70" s="721">
        <v>2.0665351447519265</v>
      </c>
      <c r="J70" s="722">
        <v>72</v>
      </c>
      <c r="K70" s="722">
        <v>162.98668566821462</v>
      </c>
      <c r="L70" s="722">
        <v>220.79053042213872</v>
      </c>
      <c r="M70" s="723" t="s">
        <v>2235</v>
      </c>
      <c r="N70" s="717">
        <v>72</v>
      </c>
      <c r="O70" s="724">
        <v>45686</v>
      </c>
      <c r="P70" s="725">
        <v>72</v>
      </c>
      <c r="Q70" s="725"/>
      <c r="R70" s="725"/>
      <c r="S70" s="725"/>
      <c r="T70" s="725"/>
      <c r="U70" s="725"/>
      <c r="V70" s="725"/>
      <c r="W70" s="725"/>
      <c r="X70" s="725"/>
      <c r="Y70" s="725"/>
      <c r="Z70" s="725"/>
      <c r="AA70" s="725"/>
      <c r="AB70" s="725"/>
      <c r="AC70" s="725"/>
      <c r="AD70" s="725"/>
      <c r="AE70" s="725"/>
      <c r="AF70" s="725"/>
      <c r="AG70" s="725"/>
      <c r="AH70" s="725"/>
      <c r="AI70" s="725"/>
      <c r="AJ70" s="725">
        <v>196.16952658250514</v>
      </c>
      <c r="AK70" s="725">
        <v>220.79053042213872</v>
      </c>
      <c r="AL70" s="725"/>
    </row>
    <row r="71" spans="2:38" s="231" customFormat="1" ht="15" customHeight="1">
      <c r="B71" s="716" t="s">
        <v>2338</v>
      </c>
      <c r="C71" s="717">
        <v>114</v>
      </c>
      <c r="D71" s="718" t="s">
        <v>2260</v>
      </c>
      <c r="E71" s="719" t="s">
        <v>2261</v>
      </c>
      <c r="F71" s="718" t="s">
        <v>2262</v>
      </c>
      <c r="H71" s="720">
        <v>165.04131597333321</v>
      </c>
      <c r="I71" s="721">
        <v>1.4477308418713439</v>
      </c>
      <c r="J71" s="722">
        <v>114</v>
      </c>
      <c r="K71" s="722">
        <v>213.65530368299633</v>
      </c>
      <c r="L71" s="722">
        <v>279.04131597333321</v>
      </c>
      <c r="M71" s="723" t="s">
        <v>2235</v>
      </c>
      <c r="N71" s="717">
        <v>114</v>
      </c>
      <c r="O71" s="724">
        <v>45686</v>
      </c>
      <c r="P71" s="725">
        <v>114</v>
      </c>
      <c r="Q71" s="725"/>
      <c r="R71" s="725"/>
      <c r="S71" s="725"/>
      <c r="T71" s="725"/>
      <c r="U71" s="725"/>
      <c r="V71" s="725"/>
      <c r="W71" s="725"/>
      <c r="X71" s="725"/>
      <c r="Y71" s="725"/>
      <c r="Z71" s="725"/>
      <c r="AA71" s="725"/>
      <c r="AB71" s="725"/>
      <c r="AC71" s="725"/>
      <c r="AD71" s="725"/>
      <c r="AE71" s="725"/>
      <c r="AF71" s="725"/>
      <c r="AG71" s="725"/>
      <c r="AH71" s="725"/>
      <c r="AI71" s="725"/>
      <c r="AJ71" s="725">
        <v>247.92459507565582</v>
      </c>
      <c r="AK71" s="725">
        <v>279.04131597333321</v>
      </c>
      <c r="AL71" s="725"/>
    </row>
    <row r="72" spans="2:38" s="231" customFormat="1" ht="15" customHeight="1">
      <c r="B72" s="716" t="s">
        <v>2339</v>
      </c>
      <c r="C72" s="717">
        <v>60</v>
      </c>
      <c r="D72" s="718" t="s">
        <v>2260</v>
      </c>
      <c r="E72" s="719" t="s">
        <v>2261</v>
      </c>
      <c r="F72" s="718" t="s">
        <v>2262</v>
      </c>
      <c r="H72" s="720">
        <v>83.528775541079995</v>
      </c>
      <c r="I72" s="721">
        <v>1.3921462590179998</v>
      </c>
      <c r="J72" s="722">
        <v>60</v>
      </c>
      <c r="K72" s="722">
        <v>110.35074453750924</v>
      </c>
      <c r="L72" s="722">
        <v>143.52877554107999</v>
      </c>
      <c r="M72" s="723" t="s">
        <v>2235</v>
      </c>
      <c r="N72" s="717">
        <v>60</v>
      </c>
      <c r="O72" s="724">
        <v>45686</v>
      </c>
      <c r="P72" s="725">
        <v>60</v>
      </c>
      <c r="Q72" s="725"/>
      <c r="R72" s="725"/>
      <c r="S72" s="725"/>
      <c r="T72" s="725"/>
      <c r="U72" s="725"/>
      <c r="V72" s="725"/>
      <c r="W72" s="725"/>
      <c r="X72" s="725"/>
      <c r="Y72" s="725"/>
      <c r="Z72" s="725"/>
      <c r="AA72" s="725"/>
      <c r="AB72" s="725"/>
      <c r="AC72" s="725"/>
      <c r="AD72" s="725"/>
      <c r="AE72" s="725"/>
      <c r="AF72" s="725"/>
      <c r="AG72" s="725"/>
      <c r="AH72" s="725"/>
      <c r="AI72" s="725"/>
      <c r="AJ72" s="725">
        <v>127.52345807144772</v>
      </c>
      <c r="AK72" s="725">
        <v>143.52877554107999</v>
      </c>
      <c r="AL72" s="725"/>
    </row>
    <row r="73" spans="2:38" s="231" customFormat="1" ht="15" customHeight="1">
      <c r="B73" s="716" t="s">
        <v>2340</v>
      </c>
      <c r="C73" s="717">
        <v>72</v>
      </c>
      <c r="D73" s="718" t="s">
        <v>2260</v>
      </c>
      <c r="E73" s="719" t="s">
        <v>2261</v>
      </c>
      <c r="F73" s="718" t="s">
        <v>2262</v>
      </c>
      <c r="H73" s="720">
        <v>144.24707645793072</v>
      </c>
      <c r="I73" s="721">
        <v>2.0034316174712599</v>
      </c>
      <c r="J73" s="722">
        <v>72</v>
      </c>
      <c r="K73" s="722">
        <v>160.12660101347862</v>
      </c>
      <c r="L73" s="722">
        <v>216.24707645793072</v>
      </c>
      <c r="M73" s="723" t="s">
        <v>2235</v>
      </c>
      <c r="N73" s="717">
        <v>72</v>
      </c>
      <c r="O73" s="724">
        <v>45686</v>
      </c>
      <c r="P73" s="725">
        <v>72</v>
      </c>
      <c r="Q73" s="725"/>
      <c r="R73" s="725"/>
      <c r="S73" s="725"/>
      <c r="T73" s="725"/>
      <c r="U73" s="725"/>
      <c r="V73" s="725"/>
      <c r="W73" s="725"/>
      <c r="X73" s="725"/>
      <c r="Y73" s="725"/>
      <c r="Z73" s="725"/>
      <c r="AA73" s="725"/>
      <c r="AB73" s="725"/>
      <c r="AC73" s="725"/>
      <c r="AD73" s="725"/>
      <c r="AE73" s="725"/>
      <c r="AF73" s="725"/>
      <c r="AG73" s="725"/>
      <c r="AH73" s="725"/>
      <c r="AI73" s="725"/>
      <c r="AJ73" s="725">
        <v>192.13272658250514</v>
      </c>
      <c r="AK73" s="725">
        <v>216.24707645793072</v>
      </c>
      <c r="AL73" s="725"/>
    </row>
    <row r="74" spans="2:38" s="231" customFormat="1" ht="15" customHeight="1">
      <c r="B74" s="726" t="s">
        <v>2341</v>
      </c>
      <c r="C74" s="717">
        <v>84</v>
      </c>
      <c r="D74" s="718" t="s">
        <v>2260</v>
      </c>
      <c r="E74" s="719" t="s">
        <v>2261</v>
      </c>
      <c r="F74" s="718" t="s">
        <v>2262</v>
      </c>
      <c r="H74" s="720">
        <v>190.49786200912524</v>
      </c>
      <c r="I74" s="721">
        <v>2.2678316905848241</v>
      </c>
      <c r="J74" s="722">
        <v>84</v>
      </c>
      <c r="K74" s="722">
        <v>200.79521902826036</v>
      </c>
      <c r="L74" s="722">
        <v>274.49786200912524</v>
      </c>
      <c r="M74" s="723" t="s">
        <v>2235</v>
      </c>
      <c r="N74" s="717">
        <v>84</v>
      </c>
      <c r="O74" s="724">
        <v>45686</v>
      </c>
      <c r="P74" s="725">
        <v>84</v>
      </c>
      <c r="Q74" s="725"/>
      <c r="R74" s="725"/>
      <c r="S74" s="725"/>
      <c r="T74" s="725"/>
      <c r="U74" s="725"/>
      <c r="V74" s="725"/>
      <c r="W74" s="725"/>
      <c r="X74" s="725"/>
      <c r="Y74" s="725"/>
      <c r="Z74" s="725"/>
      <c r="AA74" s="725"/>
      <c r="AB74" s="725"/>
      <c r="AC74" s="725"/>
      <c r="AD74" s="725"/>
      <c r="AE74" s="725"/>
      <c r="AF74" s="725"/>
      <c r="AG74" s="725"/>
      <c r="AH74" s="725"/>
      <c r="AI74" s="725"/>
      <c r="AJ74" s="725">
        <v>243.88779507565582</v>
      </c>
      <c r="AK74" s="725">
        <v>274.49786200912524</v>
      </c>
      <c r="AL74" s="725"/>
    </row>
    <row r="75" spans="2:38" s="231" customFormat="1" ht="15" customHeight="1">
      <c r="B75" s="715" t="s">
        <v>2342</v>
      </c>
      <c r="C75" s="679"/>
      <c r="D75" s="679"/>
      <c r="E75" s="679"/>
      <c r="F75" s="679"/>
    </row>
    <row r="76" spans="2:38" s="231" customFormat="1" ht="15" customHeight="1">
      <c r="B76" s="716" t="s">
        <v>2343</v>
      </c>
      <c r="C76" s="717">
        <v>3</v>
      </c>
      <c r="D76" s="718" t="s">
        <v>2344</v>
      </c>
      <c r="E76" s="719"/>
      <c r="F76" s="718" t="s">
        <v>2271</v>
      </c>
      <c r="H76" s="720">
        <v>0.34514922749999988</v>
      </c>
      <c r="I76" s="721">
        <v>0.12550880999999994</v>
      </c>
      <c r="J76" s="722">
        <v>2.75</v>
      </c>
      <c r="K76" s="722">
        <v>2.9483830758333336</v>
      </c>
      <c r="L76" s="722">
        <v>3.0951492274999999</v>
      </c>
      <c r="M76" s="723" t="s">
        <v>2243</v>
      </c>
      <c r="N76" s="717">
        <v>3</v>
      </c>
      <c r="O76" s="724">
        <v>45686</v>
      </c>
      <c r="P76" s="725"/>
      <c r="Q76" s="725"/>
      <c r="R76" s="725"/>
      <c r="S76" s="725"/>
      <c r="T76" s="725"/>
      <c r="U76" s="725"/>
      <c r="V76" s="725"/>
      <c r="W76" s="725"/>
      <c r="X76" s="725">
        <v>3</v>
      </c>
      <c r="Y76" s="725"/>
      <c r="Z76" s="725"/>
      <c r="AA76" s="725"/>
      <c r="AB76" s="725"/>
      <c r="AC76" s="725"/>
      <c r="AD76" s="725"/>
      <c r="AE76" s="725"/>
      <c r="AF76" s="725"/>
      <c r="AG76" s="725"/>
      <c r="AH76" s="725"/>
      <c r="AI76" s="725"/>
      <c r="AJ76" s="725">
        <v>2.75</v>
      </c>
      <c r="AK76" s="725">
        <v>3.0951492274999999</v>
      </c>
      <c r="AL76" s="725"/>
    </row>
    <row r="77" spans="2:38" s="231" customFormat="1" ht="15" customHeight="1">
      <c r="B77" s="716" t="s">
        <v>2345</v>
      </c>
      <c r="C77" s="717">
        <v>55</v>
      </c>
      <c r="D77" s="718" t="s">
        <v>1216</v>
      </c>
      <c r="E77" s="719"/>
      <c r="F77" s="718" t="s">
        <v>2271</v>
      </c>
      <c r="H77" s="720">
        <v>44.044775279999996</v>
      </c>
      <c r="I77" s="721">
        <v>0.80081409599999998</v>
      </c>
      <c r="J77" s="722">
        <v>55</v>
      </c>
      <c r="K77" s="722">
        <v>80.681591760000003</v>
      </c>
      <c r="L77" s="722">
        <v>99.044775279999996</v>
      </c>
      <c r="M77" s="723" t="s">
        <v>2243</v>
      </c>
      <c r="N77" s="717">
        <v>55</v>
      </c>
      <c r="O77" s="724">
        <v>45686</v>
      </c>
      <c r="P77" s="725"/>
      <c r="Q77" s="725"/>
      <c r="R77" s="725"/>
      <c r="S77" s="725"/>
      <c r="T77" s="725"/>
      <c r="U77" s="725"/>
      <c r="V77" s="725"/>
      <c r="W77" s="725"/>
      <c r="X77" s="725">
        <v>55</v>
      </c>
      <c r="Y77" s="725"/>
      <c r="Z77" s="725"/>
      <c r="AA77" s="725"/>
      <c r="AB77" s="725"/>
      <c r="AC77" s="725"/>
      <c r="AD77" s="725"/>
      <c r="AE77" s="725"/>
      <c r="AF77" s="725"/>
      <c r="AG77" s="725"/>
      <c r="AH77" s="725"/>
      <c r="AI77" s="725"/>
      <c r="AJ77" s="725">
        <v>88</v>
      </c>
      <c r="AK77" s="725">
        <v>99.044775279999996</v>
      </c>
      <c r="AL77" s="725"/>
    </row>
    <row r="78" spans="2:38" s="231" customFormat="1" ht="15" customHeight="1">
      <c r="B78" s="716" t="s">
        <v>2346</v>
      </c>
      <c r="C78" s="717">
        <v>100</v>
      </c>
      <c r="D78" s="718" t="s">
        <v>219</v>
      </c>
      <c r="E78" s="719"/>
      <c r="F78" s="718"/>
      <c r="H78" s="720">
        <v>100</v>
      </c>
      <c r="I78" s="721" t="s">
        <v>2272</v>
      </c>
      <c r="J78" s="722">
        <v>0</v>
      </c>
      <c r="K78" s="722">
        <v>50</v>
      </c>
      <c r="L78" s="722">
        <v>100</v>
      </c>
      <c r="M78" s="723" t="s">
        <v>2257</v>
      </c>
      <c r="N78" s="717">
        <v>100</v>
      </c>
      <c r="O78" s="724">
        <v>45686</v>
      </c>
      <c r="P78" s="725"/>
      <c r="Q78" s="725"/>
      <c r="R78" s="725"/>
      <c r="S78" s="725"/>
      <c r="T78" s="725"/>
      <c r="U78" s="725"/>
      <c r="V78" s="725"/>
      <c r="W78" s="725"/>
      <c r="X78" s="725"/>
      <c r="Y78" s="725"/>
      <c r="Z78" s="725"/>
      <c r="AA78" s="725"/>
      <c r="AB78" s="725"/>
      <c r="AC78" s="725"/>
      <c r="AD78" s="725"/>
      <c r="AE78" s="725"/>
      <c r="AF78" s="725"/>
      <c r="AG78" s="725"/>
      <c r="AH78" s="725"/>
      <c r="AI78" s="725"/>
      <c r="AJ78" s="725"/>
      <c r="AK78" s="725">
        <v>0</v>
      </c>
      <c r="AL78" s="725">
        <v>100</v>
      </c>
    </row>
    <row r="79" spans="2:38" s="231" customFormat="1" ht="15" customHeight="1">
      <c r="B79" s="716" t="s">
        <v>2347</v>
      </c>
      <c r="C79" s="717">
        <v>250</v>
      </c>
      <c r="D79" s="718" t="s">
        <v>219</v>
      </c>
      <c r="E79" s="719"/>
      <c r="F79" s="718" t="s">
        <v>2271</v>
      </c>
      <c r="H79" s="720">
        <v>450</v>
      </c>
      <c r="I79" s="721" t="s">
        <v>2272</v>
      </c>
      <c r="J79" s="722">
        <v>0</v>
      </c>
      <c r="K79" s="722">
        <v>233.33333333333334</v>
      </c>
      <c r="L79" s="722">
        <v>450</v>
      </c>
      <c r="M79" s="723" t="s">
        <v>2241</v>
      </c>
      <c r="N79" s="717">
        <v>250</v>
      </c>
      <c r="O79" s="724">
        <v>45686</v>
      </c>
      <c r="P79" s="725"/>
      <c r="Q79" s="725"/>
      <c r="R79" s="725"/>
      <c r="S79" s="725"/>
      <c r="T79" s="725"/>
      <c r="U79" s="725"/>
      <c r="V79" s="725">
        <v>250</v>
      </c>
      <c r="W79" s="725"/>
      <c r="X79" s="725"/>
      <c r="Y79" s="725"/>
      <c r="Z79" s="725"/>
      <c r="AA79" s="725"/>
      <c r="AB79" s="725"/>
      <c r="AC79" s="725"/>
      <c r="AD79" s="725"/>
      <c r="AE79" s="725"/>
      <c r="AF79" s="725"/>
      <c r="AG79" s="725"/>
      <c r="AH79" s="725"/>
      <c r="AI79" s="725"/>
      <c r="AJ79" s="725"/>
      <c r="AK79" s="725">
        <v>0</v>
      </c>
      <c r="AL79" s="725">
        <v>450</v>
      </c>
    </row>
    <row r="80" spans="2:38" s="231" customFormat="1" ht="15" customHeight="1">
      <c r="B80" s="715" t="s">
        <v>2348</v>
      </c>
      <c r="C80" s="679"/>
      <c r="D80" s="679"/>
      <c r="E80" s="679"/>
      <c r="F80" s="679"/>
      <c r="AK80" s="732">
        <v>0</v>
      </c>
    </row>
    <row r="81" spans="2:38" s="231" customFormat="1" ht="15" customHeight="1">
      <c r="B81" s="716" t="s">
        <v>637</v>
      </c>
      <c r="C81" s="717">
        <v>225</v>
      </c>
      <c r="D81" s="718" t="s">
        <v>2260</v>
      </c>
      <c r="E81" s="719" t="s">
        <v>2261</v>
      </c>
      <c r="F81" s="718" t="s">
        <v>2326</v>
      </c>
      <c r="H81" s="720">
        <v>70.519421510985552</v>
      </c>
      <c r="I81" s="721">
        <v>0.38857833768286287</v>
      </c>
      <c r="J81" s="722">
        <v>181.48057848901445</v>
      </c>
      <c r="K81" s="722">
        <v>212.14771368445932</v>
      </c>
      <c r="L81" s="722">
        <v>252</v>
      </c>
      <c r="M81" s="723" t="s">
        <v>2237</v>
      </c>
      <c r="N81" s="717">
        <v>225</v>
      </c>
      <c r="O81" s="724">
        <v>45686</v>
      </c>
      <c r="P81" s="725">
        <v>252</v>
      </c>
      <c r="Q81" s="725">
        <v>198</v>
      </c>
      <c r="R81" s="725">
        <v>225</v>
      </c>
      <c r="S81" s="725"/>
      <c r="T81" s="725"/>
      <c r="U81" s="725"/>
      <c r="V81" s="725"/>
      <c r="W81" s="725"/>
      <c r="X81" s="725"/>
      <c r="Y81" s="725"/>
      <c r="Z81" s="725"/>
      <c r="AA81" s="725"/>
      <c r="AB81" s="725"/>
      <c r="AC81" s="725"/>
      <c r="AD81" s="725"/>
      <c r="AE81" s="725"/>
      <c r="AF81" s="725"/>
      <c r="AG81" s="725"/>
      <c r="AH81" s="725"/>
      <c r="AI81" s="725"/>
      <c r="AJ81" s="725">
        <v>181.48057848901445</v>
      </c>
      <c r="AK81" s="725">
        <v>204.25798993328223</v>
      </c>
      <c r="AL81" s="725"/>
    </row>
    <row r="82" spans="2:38" s="231" customFormat="1" ht="15" customHeight="1">
      <c r="B82" s="716" t="s">
        <v>621</v>
      </c>
      <c r="C82" s="717">
        <v>264</v>
      </c>
      <c r="D82" s="718" t="s">
        <v>2260</v>
      </c>
      <c r="E82" s="719" t="s">
        <v>2261</v>
      </c>
      <c r="F82" s="718" t="s">
        <v>2262</v>
      </c>
      <c r="H82" s="720">
        <v>48.33120286978459</v>
      </c>
      <c r="I82" s="721">
        <v>0.22409919057787214</v>
      </c>
      <c r="J82" s="722">
        <v>215.66879713021541</v>
      </c>
      <c r="K82" s="722">
        <v>240.80197611412518</v>
      </c>
      <c r="L82" s="722">
        <v>264</v>
      </c>
      <c r="M82" s="723" t="s">
        <v>2235</v>
      </c>
      <c r="N82" s="717">
        <v>264</v>
      </c>
      <c r="O82" s="724">
        <v>45686</v>
      </c>
      <c r="P82" s="725">
        <v>264</v>
      </c>
      <c r="Q82" s="725"/>
      <c r="R82" s="725"/>
      <c r="S82" s="725"/>
      <c r="T82" s="725"/>
      <c r="U82" s="725"/>
      <c r="V82" s="725"/>
      <c r="W82" s="725"/>
      <c r="X82" s="725"/>
      <c r="Y82" s="725"/>
      <c r="Z82" s="725"/>
      <c r="AA82" s="725"/>
      <c r="AB82" s="725"/>
      <c r="AC82" s="725"/>
      <c r="AD82" s="725"/>
      <c r="AE82" s="725"/>
      <c r="AF82" s="725"/>
      <c r="AG82" s="725"/>
      <c r="AH82" s="725"/>
      <c r="AI82" s="725"/>
      <c r="AJ82" s="725">
        <v>215.66879713021541</v>
      </c>
      <c r="AK82" s="725">
        <v>242.73713121216014</v>
      </c>
      <c r="AL82" s="725"/>
    </row>
    <row r="83" spans="2:38" s="231" customFormat="1" ht="15" customHeight="1">
      <c r="B83" s="726" t="s">
        <v>620</v>
      </c>
      <c r="C83" s="717">
        <v>294</v>
      </c>
      <c r="D83" s="718" t="s">
        <v>2260</v>
      </c>
      <c r="E83" s="719" t="s">
        <v>2261</v>
      </c>
      <c r="F83" s="718" t="s">
        <v>2262</v>
      </c>
      <c r="H83" s="720">
        <v>33.160767416348335</v>
      </c>
      <c r="I83" s="721">
        <v>0.12713105727189106</v>
      </c>
      <c r="J83" s="722">
        <v>260.83923258365166</v>
      </c>
      <c r="K83" s="722">
        <v>282.80536228339685</v>
      </c>
      <c r="L83" s="722">
        <v>294</v>
      </c>
      <c r="M83" s="723" t="s">
        <v>2235</v>
      </c>
      <c r="N83" s="717">
        <v>294</v>
      </c>
      <c r="O83" s="724">
        <v>45686</v>
      </c>
      <c r="P83" s="725">
        <v>294</v>
      </c>
      <c r="Q83" s="725"/>
      <c r="R83" s="725"/>
      <c r="S83" s="725"/>
      <c r="T83" s="725"/>
      <c r="U83" s="725"/>
      <c r="V83" s="725"/>
      <c r="W83" s="725"/>
      <c r="X83" s="725"/>
      <c r="Y83" s="725"/>
      <c r="Z83" s="725"/>
      <c r="AA83" s="725"/>
      <c r="AB83" s="725"/>
      <c r="AC83" s="725"/>
      <c r="AD83" s="725"/>
      <c r="AE83" s="725"/>
      <c r="AF83" s="725"/>
      <c r="AG83" s="725"/>
      <c r="AH83" s="725"/>
      <c r="AI83" s="725"/>
      <c r="AJ83" s="725">
        <v>260.83923258365166</v>
      </c>
      <c r="AK83" s="725">
        <v>293.57685426653899</v>
      </c>
      <c r="AL83" s="725"/>
    </row>
    <row r="84" spans="2:38" s="231" customFormat="1" ht="15" customHeight="1">
      <c r="B84" s="715" t="s">
        <v>549</v>
      </c>
      <c r="C84" s="679"/>
      <c r="D84" s="679"/>
      <c r="E84" s="679"/>
      <c r="F84" s="679"/>
    </row>
    <row r="85" spans="2:38" s="231" customFormat="1" ht="15" customHeight="1">
      <c r="B85" s="716" t="s">
        <v>549</v>
      </c>
      <c r="C85" s="717">
        <v>92</v>
      </c>
      <c r="D85" s="718" t="s">
        <v>221</v>
      </c>
      <c r="E85" s="719"/>
      <c r="F85" s="718" t="s">
        <v>2271</v>
      </c>
      <c r="H85" s="720">
        <v>92</v>
      </c>
      <c r="I85" s="721" t="s">
        <v>2272</v>
      </c>
      <c r="J85" s="720">
        <v>0</v>
      </c>
      <c r="K85" s="720">
        <v>34</v>
      </c>
      <c r="L85" s="720">
        <v>92</v>
      </c>
      <c r="M85" s="723" t="s">
        <v>2240</v>
      </c>
      <c r="N85" s="717">
        <v>92</v>
      </c>
      <c r="O85" s="724">
        <v>45686</v>
      </c>
      <c r="P85" s="725"/>
      <c r="Q85" s="725"/>
      <c r="R85" s="725"/>
      <c r="S85" s="725"/>
      <c r="T85" s="725"/>
      <c r="U85" s="725">
        <v>92</v>
      </c>
      <c r="V85" s="725"/>
      <c r="W85" s="725"/>
      <c r="X85" s="725"/>
      <c r="Y85" s="725"/>
      <c r="Z85" s="725"/>
      <c r="AA85" s="725"/>
      <c r="AB85" s="725"/>
      <c r="AC85" s="725"/>
      <c r="AD85" s="725"/>
      <c r="AE85" s="725"/>
      <c r="AF85" s="725"/>
      <c r="AG85" s="725"/>
      <c r="AH85" s="725"/>
      <c r="AI85" s="725"/>
      <c r="AJ85" s="725"/>
      <c r="AK85" s="725">
        <v>0</v>
      </c>
      <c r="AL85" s="725">
        <v>10</v>
      </c>
    </row>
    <row r="86" spans="2:38" s="231" customFormat="1" ht="14.1" customHeight="1">
      <c r="B86" s="716" t="s">
        <v>550</v>
      </c>
      <c r="C86" s="717">
        <v>76.490890000000007</v>
      </c>
      <c r="D86" s="718" t="s">
        <v>219</v>
      </c>
      <c r="E86" s="719"/>
      <c r="F86" s="718"/>
      <c r="H86" s="720">
        <v>0</v>
      </c>
      <c r="I86" s="721">
        <v>0</v>
      </c>
      <c r="J86" s="720">
        <v>76.490890000000007</v>
      </c>
      <c r="K86" s="720">
        <v>76.490890000000007</v>
      </c>
      <c r="L86" s="720">
        <v>76.490890000000007</v>
      </c>
      <c r="M86" s="723" t="s">
        <v>2254</v>
      </c>
      <c r="N86" s="717">
        <v>76.490890000000007</v>
      </c>
      <c r="O86" s="724">
        <v>45686</v>
      </c>
      <c r="P86" s="725"/>
      <c r="Q86" s="725"/>
      <c r="R86" s="725"/>
      <c r="S86" s="725"/>
      <c r="T86" s="725"/>
      <c r="U86" s="725"/>
      <c r="V86" s="725"/>
      <c r="W86" s="725"/>
      <c r="X86" s="725"/>
      <c r="Y86" s="725"/>
      <c r="Z86" s="725"/>
      <c r="AA86" s="725"/>
      <c r="AB86" s="725"/>
      <c r="AC86" s="725"/>
      <c r="AD86" s="725"/>
      <c r="AE86" s="725"/>
      <c r="AF86" s="725"/>
      <c r="AG86" s="725"/>
      <c r="AH86" s="725"/>
      <c r="AI86" s="725">
        <v>76.490890000000007</v>
      </c>
      <c r="AJ86" s="725"/>
      <c r="AK86" s="725"/>
      <c r="AL86" s="725"/>
    </row>
    <row r="87" spans="2:38" s="231" customFormat="1" ht="15" customHeight="1">
      <c r="B87" s="716" t="s">
        <v>2349</v>
      </c>
      <c r="C87" s="717">
        <v>65</v>
      </c>
      <c r="D87" s="718" t="s">
        <v>221</v>
      </c>
      <c r="E87" s="719"/>
      <c r="F87" s="718"/>
      <c r="H87" s="720">
        <v>65</v>
      </c>
      <c r="I87" s="721" t="s">
        <v>2272</v>
      </c>
      <c r="J87" s="720">
        <v>0</v>
      </c>
      <c r="K87" s="720">
        <v>37.333333333333336</v>
      </c>
      <c r="L87" s="720">
        <v>65</v>
      </c>
      <c r="M87" s="723" t="s">
        <v>2257</v>
      </c>
      <c r="N87" s="717">
        <v>65</v>
      </c>
      <c r="O87" s="724">
        <v>45686</v>
      </c>
      <c r="P87" s="725"/>
      <c r="Q87" s="725"/>
      <c r="R87" s="725"/>
      <c r="S87" s="725"/>
      <c r="T87" s="725"/>
      <c r="U87" s="725">
        <v>47</v>
      </c>
      <c r="V87" s="725"/>
      <c r="W87" s="725"/>
      <c r="X87" s="725"/>
      <c r="Y87" s="725"/>
      <c r="Z87" s="725"/>
      <c r="AA87" s="725"/>
      <c r="AB87" s="725"/>
      <c r="AC87" s="725"/>
      <c r="AD87" s="725"/>
      <c r="AE87" s="725"/>
      <c r="AF87" s="725"/>
      <c r="AG87" s="725"/>
      <c r="AH87" s="725"/>
      <c r="AI87" s="725"/>
      <c r="AJ87" s="725"/>
      <c r="AK87" s="725">
        <v>0</v>
      </c>
      <c r="AL87" s="725">
        <v>65</v>
      </c>
    </row>
    <row r="88" spans="2:38" s="231" customFormat="1" ht="15" customHeight="1">
      <c r="B88" s="715" t="s">
        <v>2350</v>
      </c>
      <c r="C88" s="679"/>
      <c r="D88" s="679"/>
      <c r="E88" s="679"/>
      <c r="F88" s="679"/>
      <c r="AK88" s="733">
        <v>0</v>
      </c>
    </row>
    <row r="89" spans="2:38" s="231" customFormat="1" ht="15" customHeight="1">
      <c r="B89" s="716" t="s">
        <v>2351</v>
      </c>
      <c r="C89" s="717">
        <v>75</v>
      </c>
      <c r="D89" s="718" t="s">
        <v>2284</v>
      </c>
      <c r="E89" s="719"/>
      <c r="F89" s="718" t="s">
        <v>2352</v>
      </c>
      <c r="H89" s="720">
        <v>10</v>
      </c>
      <c r="I89" s="721">
        <v>0.15384615384615385</v>
      </c>
      <c r="J89" s="722">
        <v>65</v>
      </c>
      <c r="K89" s="722">
        <v>72.631614530000007</v>
      </c>
      <c r="L89" s="722">
        <v>75</v>
      </c>
      <c r="M89" s="723" t="s">
        <v>2246</v>
      </c>
      <c r="N89" s="717">
        <v>75</v>
      </c>
      <c r="O89" s="724">
        <v>45686</v>
      </c>
      <c r="P89" s="725"/>
      <c r="Q89" s="725"/>
      <c r="R89" s="725"/>
      <c r="S89" s="725"/>
      <c r="T89" s="725"/>
      <c r="U89" s="725"/>
      <c r="V89" s="725"/>
      <c r="W89" s="725"/>
      <c r="X89" s="725"/>
      <c r="Y89" s="725">
        <v>75</v>
      </c>
      <c r="Z89" s="725">
        <v>75</v>
      </c>
      <c r="AA89" s="725">
        <v>75</v>
      </c>
      <c r="AB89" s="725"/>
      <c r="AC89" s="725"/>
      <c r="AD89" s="725"/>
      <c r="AE89" s="725"/>
      <c r="AF89" s="725"/>
      <c r="AG89" s="725"/>
      <c r="AH89" s="725"/>
      <c r="AI89" s="725"/>
      <c r="AJ89" s="725">
        <v>65</v>
      </c>
      <c r="AK89" s="725">
        <v>73.158072649999994</v>
      </c>
      <c r="AL89" s="725"/>
    </row>
    <row r="90" spans="2:38" s="231" customFormat="1" ht="15" customHeight="1">
      <c r="B90" s="716" t="s">
        <v>2353</v>
      </c>
      <c r="C90" s="717">
        <v>102</v>
      </c>
      <c r="D90" s="718" t="s">
        <v>2354</v>
      </c>
      <c r="E90" s="719"/>
      <c r="F90" s="718" t="s">
        <v>2352</v>
      </c>
      <c r="H90" s="720">
        <v>112.09158579999999</v>
      </c>
      <c r="I90" s="721">
        <v>1.2385810585635357</v>
      </c>
      <c r="J90" s="722">
        <v>90.5</v>
      </c>
      <c r="K90" s="722">
        <v>137.71831716</v>
      </c>
      <c r="L90" s="722">
        <v>202.59158579999999</v>
      </c>
      <c r="M90" s="723" t="s">
        <v>2246</v>
      </c>
      <c r="N90" s="717">
        <v>102</v>
      </c>
      <c r="O90" s="724">
        <v>45686</v>
      </c>
      <c r="P90" s="725"/>
      <c r="Q90" s="725"/>
      <c r="R90" s="725"/>
      <c r="S90" s="725"/>
      <c r="T90" s="725"/>
      <c r="U90" s="725"/>
      <c r="V90" s="725"/>
      <c r="W90" s="725"/>
      <c r="X90" s="725"/>
      <c r="Y90" s="725">
        <v>90.5</v>
      </c>
      <c r="Z90" s="725">
        <v>113.5</v>
      </c>
      <c r="AA90" s="725">
        <v>102</v>
      </c>
      <c r="AB90" s="725"/>
      <c r="AC90" s="725"/>
      <c r="AD90" s="725"/>
      <c r="AE90" s="725"/>
      <c r="AF90" s="725"/>
      <c r="AG90" s="725"/>
      <c r="AH90" s="725"/>
      <c r="AI90" s="725"/>
      <c r="AJ90" s="725">
        <v>180</v>
      </c>
      <c r="AK90" s="725">
        <v>202.59158579999999</v>
      </c>
      <c r="AL90" s="725"/>
    </row>
    <row r="91" spans="2:38" s="231" customFormat="1" ht="15" customHeight="1">
      <c r="B91" s="716" t="s">
        <v>2355</v>
      </c>
      <c r="C91" s="717">
        <v>238</v>
      </c>
      <c r="D91" s="718" t="s">
        <v>2356</v>
      </c>
      <c r="E91" s="719"/>
      <c r="F91" s="718" t="s">
        <v>2352</v>
      </c>
      <c r="H91" s="720">
        <v>113.4</v>
      </c>
      <c r="I91" s="721">
        <v>0.88941176470588235</v>
      </c>
      <c r="J91" s="722">
        <v>127.5</v>
      </c>
      <c r="K91" s="722">
        <v>197.000474655</v>
      </c>
      <c r="L91" s="722">
        <v>240.9</v>
      </c>
      <c r="M91" s="723" t="s">
        <v>2246</v>
      </c>
      <c r="N91" s="717">
        <v>238</v>
      </c>
      <c r="O91" s="724">
        <v>45686</v>
      </c>
      <c r="P91" s="725"/>
      <c r="Q91" s="725"/>
      <c r="R91" s="725"/>
      <c r="S91" s="725"/>
      <c r="T91" s="725"/>
      <c r="U91" s="725"/>
      <c r="V91" s="725"/>
      <c r="W91" s="725"/>
      <c r="X91" s="725"/>
      <c r="Y91" s="725">
        <v>235.1</v>
      </c>
      <c r="Z91" s="725">
        <v>240.9</v>
      </c>
      <c r="AA91" s="725">
        <v>238</v>
      </c>
      <c r="AB91" s="725"/>
      <c r="AC91" s="725"/>
      <c r="AD91" s="725"/>
      <c r="AE91" s="725"/>
      <c r="AF91" s="725"/>
      <c r="AG91" s="725"/>
      <c r="AH91" s="725"/>
      <c r="AI91" s="725"/>
      <c r="AJ91" s="725">
        <v>127.5</v>
      </c>
      <c r="AK91" s="725">
        <v>143.502373275</v>
      </c>
      <c r="AL91" s="725"/>
    </row>
    <row r="92" spans="2:38" s="231" customFormat="1" ht="15" customHeight="1">
      <c r="B92" s="716" t="s">
        <v>2357</v>
      </c>
      <c r="C92" s="717">
        <v>37.5</v>
      </c>
      <c r="D92" s="718" t="s">
        <v>2358</v>
      </c>
      <c r="E92" s="719"/>
      <c r="F92" s="718" t="s">
        <v>2271</v>
      </c>
      <c r="H92" s="720">
        <v>77.301898619999989</v>
      </c>
      <c r="I92" s="721">
        <v>2.0613839631999995</v>
      </c>
      <c r="J92" s="722">
        <v>37.5</v>
      </c>
      <c r="K92" s="722">
        <v>84.767299539999996</v>
      </c>
      <c r="L92" s="722">
        <v>114.80189861999999</v>
      </c>
      <c r="M92" s="723" t="s">
        <v>2244</v>
      </c>
      <c r="N92" s="717">
        <v>37.5</v>
      </c>
      <c r="O92" s="724">
        <v>45686</v>
      </c>
      <c r="P92" s="725"/>
      <c r="Q92" s="725"/>
      <c r="R92" s="725"/>
      <c r="S92" s="725"/>
      <c r="T92" s="725"/>
      <c r="U92" s="725"/>
      <c r="V92" s="725"/>
      <c r="W92" s="725"/>
      <c r="X92" s="725"/>
      <c r="Y92" s="725">
        <v>37.5</v>
      </c>
      <c r="Z92" s="725"/>
      <c r="AA92" s="725"/>
      <c r="AB92" s="725"/>
      <c r="AC92" s="725"/>
      <c r="AD92" s="725"/>
      <c r="AE92" s="725"/>
      <c r="AF92" s="725"/>
      <c r="AG92" s="725"/>
      <c r="AH92" s="725"/>
      <c r="AI92" s="725"/>
      <c r="AJ92" s="725">
        <v>102</v>
      </c>
      <c r="AK92" s="725">
        <v>114.80189861999999</v>
      </c>
      <c r="AL92" s="725"/>
    </row>
    <row r="93" spans="2:38" s="231" customFormat="1" ht="15" customHeight="1">
      <c r="B93" s="716" t="s">
        <v>2359</v>
      </c>
      <c r="C93" s="717">
        <v>52</v>
      </c>
      <c r="D93" s="718" t="s">
        <v>2284</v>
      </c>
      <c r="E93" s="719"/>
      <c r="F93" s="718" t="s">
        <v>2352</v>
      </c>
      <c r="H93" s="720">
        <v>269.44531613599997</v>
      </c>
      <c r="I93" s="721">
        <v>5.1816406949230762</v>
      </c>
      <c r="J93" s="722">
        <v>52</v>
      </c>
      <c r="K93" s="722">
        <v>152.60906322720001</v>
      </c>
      <c r="L93" s="722">
        <v>321.44531613599997</v>
      </c>
      <c r="M93" s="723" t="s">
        <v>2246</v>
      </c>
      <c r="N93" s="717">
        <v>52</v>
      </c>
      <c r="O93" s="724">
        <v>45686</v>
      </c>
      <c r="P93" s="725"/>
      <c r="Q93" s="725"/>
      <c r="R93" s="725"/>
      <c r="S93" s="725"/>
      <c r="T93" s="725"/>
      <c r="U93" s="725"/>
      <c r="V93" s="725"/>
      <c r="W93" s="725"/>
      <c r="X93" s="725"/>
      <c r="Y93" s="725">
        <v>52</v>
      </c>
      <c r="Z93" s="725">
        <v>52</v>
      </c>
      <c r="AA93" s="725">
        <v>52</v>
      </c>
      <c r="AB93" s="725"/>
      <c r="AC93" s="725"/>
      <c r="AD93" s="725"/>
      <c r="AE93" s="725"/>
      <c r="AF93" s="725"/>
      <c r="AG93" s="725"/>
      <c r="AH93" s="725"/>
      <c r="AI93" s="725"/>
      <c r="AJ93" s="725">
        <v>285.60000000000002</v>
      </c>
      <c r="AK93" s="725">
        <v>321.44531613599997</v>
      </c>
      <c r="AL93" s="725"/>
    </row>
    <row r="94" spans="2:38" s="231" customFormat="1" ht="15" customHeight="1">
      <c r="B94" s="716" t="s">
        <v>2360</v>
      </c>
      <c r="C94" s="717">
        <v>50</v>
      </c>
      <c r="D94" s="718" t="s">
        <v>2284</v>
      </c>
      <c r="E94" s="719"/>
      <c r="F94" s="718" t="s">
        <v>2294</v>
      </c>
      <c r="H94" s="720">
        <v>30</v>
      </c>
      <c r="I94" s="721">
        <v>1.5</v>
      </c>
      <c r="J94" s="722">
        <v>20</v>
      </c>
      <c r="K94" s="722">
        <v>40</v>
      </c>
      <c r="L94" s="722">
        <v>50</v>
      </c>
      <c r="M94" s="723" t="s">
        <v>2244</v>
      </c>
      <c r="N94" s="717">
        <v>50</v>
      </c>
      <c r="O94" s="724">
        <v>45686</v>
      </c>
      <c r="P94" s="725"/>
      <c r="Q94" s="725"/>
      <c r="R94" s="725"/>
      <c r="S94" s="725"/>
      <c r="T94" s="725"/>
      <c r="U94" s="725"/>
      <c r="V94" s="725"/>
      <c r="W94" s="725"/>
      <c r="X94" s="725"/>
      <c r="Y94" s="725">
        <v>50</v>
      </c>
      <c r="Z94" s="725"/>
      <c r="AA94" s="725">
        <v>50</v>
      </c>
      <c r="AB94" s="725"/>
      <c r="AC94" s="725"/>
      <c r="AD94" s="725"/>
      <c r="AE94" s="725"/>
      <c r="AF94" s="725"/>
      <c r="AG94" s="725"/>
      <c r="AH94" s="725"/>
      <c r="AI94" s="725"/>
      <c r="AJ94" s="725" t="s">
        <v>2303</v>
      </c>
      <c r="AK94" s="725" t="s">
        <v>2303</v>
      </c>
      <c r="AL94" s="725">
        <v>20</v>
      </c>
    </row>
    <row r="95" spans="2:38" s="231" customFormat="1" ht="15" customHeight="1">
      <c r="B95" s="716" t="s">
        <v>2361</v>
      </c>
      <c r="C95" s="717">
        <v>200</v>
      </c>
      <c r="D95" s="718" t="s">
        <v>2284</v>
      </c>
      <c r="E95" s="719"/>
      <c r="F95" s="718" t="s">
        <v>2362</v>
      </c>
      <c r="H95" s="720">
        <v>200</v>
      </c>
      <c r="I95" s="721" t="s">
        <v>2272</v>
      </c>
      <c r="J95" s="720">
        <v>0</v>
      </c>
      <c r="K95" s="720">
        <v>100</v>
      </c>
      <c r="L95" s="720">
        <v>200</v>
      </c>
      <c r="M95" s="723" t="s">
        <v>2257</v>
      </c>
      <c r="N95" s="717">
        <v>200</v>
      </c>
      <c r="O95" s="724">
        <v>45686</v>
      </c>
      <c r="P95" s="725"/>
      <c r="Q95" s="725"/>
      <c r="R95" s="725"/>
      <c r="S95" s="725"/>
      <c r="T95" s="725"/>
      <c r="U95" s="725"/>
      <c r="V95" s="725"/>
      <c r="W95" s="725"/>
      <c r="X95" s="725"/>
      <c r="Y95" s="725"/>
      <c r="Z95" s="725"/>
      <c r="AA95" s="725"/>
      <c r="AB95" s="725"/>
      <c r="AC95" s="725"/>
      <c r="AD95" s="725"/>
      <c r="AE95" s="725"/>
      <c r="AF95" s="725"/>
      <c r="AG95" s="725"/>
      <c r="AH95" s="725"/>
      <c r="AI95" s="725"/>
      <c r="AJ95" s="725"/>
      <c r="AK95" s="725">
        <v>0</v>
      </c>
      <c r="AL95" s="725">
        <v>200</v>
      </c>
    </row>
    <row r="96" spans="2:38" s="231" customFormat="1" ht="15" customHeight="1">
      <c r="B96" s="715" t="s">
        <v>2363</v>
      </c>
      <c r="C96" s="679"/>
      <c r="D96" s="679"/>
      <c r="E96" s="679"/>
      <c r="F96" s="679"/>
    </row>
    <row r="97" spans="2:38" s="231" customFormat="1" ht="15" customHeight="1">
      <c r="B97" s="716" t="s">
        <v>2364</v>
      </c>
      <c r="C97" s="717">
        <v>230</v>
      </c>
      <c r="D97" s="718" t="s">
        <v>2365</v>
      </c>
      <c r="E97" s="718" t="s">
        <v>2366</v>
      </c>
      <c r="F97" s="718" t="s">
        <v>2367</v>
      </c>
      <c r="H97" s="720">
        <v>0</v>
      </c>
      <c r="I97" s="721">
        <v>0</v>
      </c>
      <c r="J97" s="722">
        <v>230</v>
      </c>
      <c r="K97" s="722">
        <v>230</v>
      </c>
      <c r="L97" s="722">
        <v>230</v>
      </c>
      <c r="M97" s="723" t="s">
        <v>2241</v>
      </c>
      <c r="N97" s="717">
        <v>230</v>
      </c>
      <c r="O97" s="724">
        <v>45686</v>
      </c>
      <c r="P97" s="725"/>
      <c r="Q97" s="725"/>
      <c r="R97" s="725"/>
      <c r="S97" s="725"/>
      <c r="T97" s="725"/>
      <c r="U97" s="725"/>
      <c r="V97" s="725">
        <v>230</v>
      </c>
      <c r="W97" s="725"/>
      <c r="X97" s="725"/>
      <c r="Y97" s="725"/>
      <c r="Z97" s="725"/>
      <c r="AA97" s="725"/>
      <c r="AB97" s="725"/>
      <c r="AC97" s="725"/>
      <c r="AD97" s="725"/>
      <c r="AE97" s="725"/>
      <c r="AF97" s="725"/>
      <c r="AG97" s="725"/>
      <c r="AH97" s="725"/>
      <c r="AI97" s="725"/>
      <c r="AJ97" s="725" t="s">
        <v>2303</v>
      </c>
      <c r="AK97" s="725" t="s">
        <v>2303</v>
      </c>
      <c r="AL97" s="725"/>
    </row>
    <row r="98" spans="2:38" s="231" customFormat="1" ht="15" customHeight="1">
      <c r="B98" s="716" t="s">
        <v>2368</v>
      </c>
      <c r="C98" s="717">
        <v>32</v>
      </c>
      <c r="D98" s="718" t="s">
        <v>2365</v>
      </c>
      <c r="E98" s="719" t="s">
        <v>2369</v>
      </c>
      <c r="F98" s="718"/>
      <c r="H98" s="720">
        <v>0</v>
      </c>
      <c r="I98" s="721">
        <v>0</v>
      </c>
      <c r="J98" s="722">
        <v>32</v>
      </c>
      <c r="K98" s="722">
        <v>32</v>
      </c>
      <c r="L98" s="722">
        <v>32</v>
      </c>
      <c r="M98" s="723" t="s">
        <v>2241</v>
      </c>
      <c r="N98" s="717">
        <v>32</v>
      </c>
      <c r="O98" s="724">
        <v>45686</v>
      </c>
      <c r="P98" s="725"/>
      <c r="Q98" s="725"/>
      <c r="R98" s="725"/>
      <c r="S98" s="725"/>
      <c r="T98" s="725"/>
      <c r="U98" s="725"/>
      <c r="V98" s="725">
        <v>32</v>
      </c>
      <c r="W98" s="725"/>
      <c r="X98" s="725"/>
      <c r="Y98" s="725"/>
      <c r="Z98" s="725"/>
      <c r="AA98" s="725"/>
      <c r="AB98" s="725"/>
      <c r="AC98" s="725"/>
      <c r="AD98" s="725"/>
      <c r="AE98" s="725"/>
      <c r="AF98" s="725"/>
      <c r="AG98" s="725"/>
      <c r="AH98" s="725"/>
      <c r="AI98" s="725"/>
      <c r="AJ98" s="725" t="s">
        <v>2303</v>
      </c>
      <c r="AK98" s="725" t="s">
        <v>2303</v>
      </c>
      <c r="AL98" s="725"/>
    </row>
    <row r="99" spans="2:38" s="231" customFormat="1" ht="15" customHeight="1">
      <c r="B99" s="716" t="s">
        <v>2370</v>
      </c>
      <c r="C99" s="717">
        <v>95</v>
      </c>
      <c r="D99" s="718" t="s">
        <v>2365</v>
      </c>
      <c r="E99" s="719" t="s">
        <v>2371</v>
      </c>
      <c r="F99" s="718"/>
      <c r="H99" s="720">
        <v>0</v>
      </c>
      <c r="I99" s="721">
        <v>0</v>
      </c>
      <c r="J99" s="722">
        <v>95</v>
      </c>
      <c r="K99" s="722">
        <v>95</v>
      </c>
      <c r="L99" s="722">
        <v>95</v>
      </c>
      <c r="M99" s="723" t="s">
        <v>2241</v>
      </c>
      <c r="N99" s="717">
        <v>95</v>
      </c>
      <c r="O99" s="724">
        <v>45686</v>
      </c>
      <c r="P99" s="725"/>
      <c r="Q99" s="725"/>
      <c r="R99" s="725"/>
      <c r="S99" s="725"/>
      <c r="T99" s="725"/>
      <c r="U99" s="725"/>
      <c r="V99" s="725">
        <v>95</v>
      </c>
      <c r="W99" s="725"/>
      <c r="X99" s="725"/>
      <c r="Y99" s="725"/>
      <c r="Z99" s="725"/>
      <c r="AA99" s="725"/>
      <c r="AB99" s="725"/>
      <c r="AC99" s="725"/>
      <c r="AD99" s="725"/>
      <c r="AE99" s="725"/>
      <c r="AF99" s="725"/>
      <c r="AG99" s="725"/>
      <c r="AH99" s="725"/>
      <c r="AI99" s="725"/>
      <c r="AJ99" s="725" t="s">
        <v>2303</v>
      </c>
      <c r="AK99" s="725" t="s">
        <v>2303</v>
      </c>
      <c r="AL99" s="725"/>
    </row>
    <row r="100" spans="2:38" s="231" customFormat="1" ht="15" customHeight="1">
      <c r="B100" s="716" t="s">
        <v>2372</v>
      </c>
      <c r="C100" s="717">
        <v>140</v>
      </c>
      <c r="D100" s="718" t="s">
        <v>2365</v>
      </c>
      <c r="E100" s="719" t="s">
        <v>2373</v>
      </c>
      <c r="F100" s="718"/>
      <c r="H100" s="720">
        <v>0</v>
      </c>
      <c r="I100" s="721">
        <v>0</v>
      </c>
      <c r="J100" s="722">
        <v>140</v>
      </c>
      <c r="K100" s="722">
        <v>140</v>
      </c>
      <c r="L100" s="722">
        <v>140</v>
      </c>
      <c r="M100" s="723" t="s">
        <v>2241</v>
      </c>
      <c r="N100" s="717">
        <v>140</v>
      </c>
      <c r="O100" s="724">
        <v>45686</v>
      </c>
      <c r="P100" s="725"/>
      <c r="Q100" s="725"/>
      <c r="R100" s="725"/>
      <c r="S100" s="725"/>
      <c r="T100" s="725"/>
      <c r="U100" s="725"/>
      <c r="V100" s="725">
        <v>140</v>
      </c>
      <c r="W100" s="725"/>
      <c r="X100" s="725"/>
      <c r="Y100" s="725"/>
      <c r="Z100" s="725"/>
      <c r="AA100" s="725"/>
      <c r="AB100" s="725"/>
      <c r="AC100" s="725"/>
      <c r="AD100" s="725"/>
      <c r="AE100" s="725"/>
      <c r="AF100" s="725"/>
      <c r="AG100" s="725"/>
      <c r="AH100" s="725"/>
      <c r="AI100" s="725"/>
      <c r="AJ100" s="725" t="s">
        <v>2303</v>
      </c>
      <c r="AK100" s="725" t="s">
        <v>2303</v>
      </c>
      <c r="AL100" s="725"/>
    </row>
    <row r="101" spans="2:38" s="231" customFormat="1" ht="15" customHeight="1">
      <c r="B101" s="716" t="s">
        <v>2374</v>
      </c>
      <c r="C101" s="717">
        <v>350</v>
      </c>
      <c r="D101" s="718" t="s">
        <v>2365</v>
      </c>
      <c r="E101" s="719" t="s">
        <v>2375</v>
      </c>
      <c r="F101" s="718"/>
      <c r="H101" s="720">
        <v>0</v>
      </c>
      <c r="I101" s="721">
        <v>0</v>
      </c>
      <c r="J101" s="722">
        <v>350</v>
      </c>
      <c r="K101" s="722">
        <v>350</v>
      </c>
      <c r="L101" s="722">
        <v>350</v>
      </c>
      <c r="M101" s="723" t="s">
        <v>2241</v>
      </c>
      <c r="N101" s="717">
        <v>350</v>
      </c>
      <c r="O101" s="724">
        <v>45686</v>
      </c>
      <c r="P101" s="725"/>
      <c r="Q101" s="725"/>
      <c r="R101" s="725"/>
      <c r="S101" s="725"/>
      <c r="T101" s="725"/>
      <c r="U101" s="725"/>
      <c r="V101" s="725">
        <v>350</v>
      </c>
      <c r="W101" s="725"/>
      <c r="X101" s="725"/>
      <c r="Y101" s="725"/>
      <c r="Z101" s="725"/>
      <c r="AA101" s="725"/>
      <c r="AB101" s="725"/>
      <c r="AC101" s="725"/>
      <c r="AD101" s="725"/>
      <c r="AE101" s="725"/>
      <c r="AF101" s="725"/>
      <c r="AG101" s="725"/>
      <c r="AH101" s="725"/>
      <c r="AI101" s="725"/>
      <c r="AJ101" s="725" t="s">
        <v>2303</v>
      </c>
      <c r="AK101" s="725" t="s">
        <v>2303</v>
      </c>
      <c r="AL101" s="725"/>
    </row>
    <row r="102" spans="2:38" s="231" customFormat="1" ht="15" customHeight="1">
      <c r="B102" s="716" t="s">
        <v>2376</v>
      </c>
      <c r="C102" s="717">
        <v>35</v>
      </c>
      <c r="D102" s="718" t="s">
        <v>2365</v>
      </c>
      <c r="E102" s="719"/>
      <c r="F102" s="718"/>
      <c r="H102" s="720">
        <v>0</v>
      </c>
      <c r="I102" s="721">
        <v>0</v>
      </c>
      <c r="J102" s="722">
        <v>35</v>
      </c>
      <c r="K102" s="722">
        <v>35</v>
      </c>
      <c r="L102" s="722">
        <v>35</v>
      </c>
      <c r="M102" s="723" t="s">
        <v>2241</v>
      </c>
      <c r="N102" s="717">
        <v>35</v>
      </c>
      <c r="O102" s="724">
        <v>45686</v>
      </c>
      <c r="P102" s="725"/>
      <c r="Q102" s="725"/>
      <c r="R102" s="725"/>
      <c r="S102" s="725"/>
      <c r="T102" s="725"/>
      <c r="U102" s="725"/>
      <c r="V102" s="725">
        <v>35</v>
      </c>
      <c r="W102" s="725"/>
      <c r="X102" s="725"/>
      <c r="Y102" s="725"/>
      <c r="Z102" s="725"/>
      <c r="AA102" s="725"/>
      <c r="AB102" s="725"/>
      <c r="AC102" s="725"/>
      <c r="AD102" s="725"/>
      <c r="AE102" s="725"/>
      <c r="AF102" s="725"/>
      <c r="AG102" s="725"/>
      <c r="AH102" s="725"/>
      <c r="AI102" s="725"/>
      <c r="AJ102" s="725" t="s">
        <v>2303</v>
      </c>
      <c r="AK102" s="725" t="s">
        <v>2303</v>
      </c>
      <c r="AL102" s="725"/>
    </row>
    <row r="103" spans="2:38" s="231" customFormat="1" ht="15" customHeight="1">
      <c r="B103" s="716" t="s">
        <v>2377</v>
      </c>
      <c r="C103" s="717">
        <v>75</v>
      </c>
      <c r="D103" s="718" t="s">
        <v>2365</v>
      </c>
      <c r="E103" s="719" t="s">
        <v>2378</v>
      </c>
      <c r="F103" s="718"/>
      <c r="H103" s="720">
        <v>0</v>
      </c>
      <c r="I103" s="721">
        <v>0</v>
      </c>
      <c r="J103" s="722">
        <v>75</v>
      </c>
      <c r="K103" s="722">
        <v>75</v>
      </c>
      <c r="L103" s="722">
        <v>75</v>
      </c>
      <c r="M103" s="723" t="s">
        <v>2241</v>
      </c>
      <c r="N103" s="717">
        <v>75</v>
      </c>
      <c r="O103" s="724">
        <v>45686</v>
      </c>
      <c r="P103" s="725"/>
      <c r="Q103" s="725"/>
      <c r="R103" s="725"/>
      <c r="S103" s="725"/>
      <c r="T103" s="725"/>
      <c r="U103" s="725"/>
      <c r="V103" s="725">
        <v>75</v>
      </c>
      <c r="W103" s="725"/>
      <c r="X103" s="725"/>
      <c r="Y103" s="725"/>
      <c r="Z103" s="725"/>
      <c r="AA103" s="725"/>
      <c r="AB103" s="725"/>
      <c r="AC103" s="725"/>
      <c r="AD103" s="725"/>
      <c r="AE103" s="725"/>
      <c r="AF103" s="725"/>
      <c r="AG103" s="725"/>
      <c r="AH103" s="725"/>
      <c r="AI103" s="725"/>
      <c r="AJ103" s="725" t="s">
        <v>2303</v>
      </c>
      <c r="AK103" s="725" t="s">
        <v>2303</v>
      </c>
      <c r="AL103" s="725"/>
    </row>
    <row r="104" spans="2:38" s="231" customFormat="1" ht="15" customHeight="1">
      <c r="B104" s="716" t="s">
        <v>2379</v>
      </c>
      <c r="C104" s="717">
        <v>230</v>
      </c>
      <c r="D104" s="718" t="s">
        <v>2365</v>
      </c>
      <c r="E104" s="719"/>
      <c r="F104" s="718"/>
      <c r="H104" s="720">
        <v>0</v>
      </c>
      <c r="I104" s="721">
        <v>0</v>
      </c>
      <c r="J104" s="722">
        <v>230</v>
      </c>
      <c r="K104" s="722">
        <v>230</v>
      </c>
      <c r="L104" s="722">
        <v>230</v>
      </c>
      <c r="M104" s="723" t="s">
        <v>2241</v>
      </c>
      <c r="N104" s="717">
        <v>230</v>
      </c>
      <c r="O104" s="724">
        <v>45686</v>
      </c>
      <c r="P104" s="725"/>
      <c r="Q104" s="725"/>
      <c r="R104" s="725"/>
      <c r="S104" s="725"/>
      <c r="T104" s="725"/>
      <c r="U104" s="725"/>
      <c r="V104" s="725">
        <v>230</v>
      </c>
      <c r="W104" s="725"/>
      <c r="X104" s="725"/>
      <c r="Y104" s="725"/>
      <c r="Z104" s="725"/>
      <c r="AA104" s="725"/>
      <c r="AB104" s="725"/>
      <c r="AC104" s="725"/>
      <c r="AD104" s="725"/>
      <c r="AE104" s="725"/>
      <c r="AF104" s="725"/>
      <c r="AG104" s="725"/>
      <c r="AH104" s="725"/>
      <c r="AI104" s="725"/>
      <c r="AJ104" s="725" t="s">
        <v>2303</v>
      </c>
      <c r="AK104" s="725" t="s">
        <v>2303</v>
      </c>
      <c r="AL104" s="725"/>
    </row>
    <row r="105" spans="2:38" s="231" customFormat="1" ht="15" customHeight="1">
      <c r="B105" s="716" t="s">
        <v>2380</v>
      </c>
      <c r="C105" s="717">
        <v>230</v>
      </c>
      <c r="D105" s="718" t="s">
        <v>2365</v>
      </c>
      <c r="E105" s="719"/>
      <c r="F105" s="718"/>
      <c r="H105" s="720">
        <v>0</v>
      </c>
      <c r="I105" s="721">
        <v>0</v>
      </c>
      <c r="J105" s="722">
        <v>230</v>
      </c>
      <c r="K105" s="722">
        <v>230</v>
      </c>
      <c r="L105" s="722">
        <v>230</v>
      </c>
      <c r="M105" s="723" t="s">
        <v>2241</v>
      </c>
      <c r="N105" s="717">
        <v>230</v>
      </c>
      <c r="O105" s="724">
        <v>45686</v>
      </c>
      <c r="P105" s="725"/>
      <c r="Q105" s="725"/>
      <c r="R105" s="725"/>
      <c r="S105" s="725"/>
      <c r="T105" s="725"/>
      <c r="U105" s="725"/>
      <c r="V105" s="725">
        <v>230</v>
      </c>
      <c r="W105" s="725"/>
      <c r="X105" s="725"/>
      <c r="Y105" s="725"/>
      <c r="Z105" s="725"/>
      <c r="AA105" s="725"/>
      <c r="AB105" s="725"/>
      <c r="AC105" s="725"/>
      <c r="AD105" s="725"/>
      <c r="AE105" s="725"/>
      <c r="AF105" s="725"/>
      <c r="AG105" s="725"/>
      <c r="AH105" s="725"/>
      <c r="AI105" s="725"/>
      <c r="AJ105" s="725" t="s">
        <v>2303</v>
      </c>
      <c r="AK105" s="725" t="s">
        <v>2303</v>
      </c>
      <c r="AL105" s="725"/>
    </row>
    <row r="106" spans="2:38" s="231" customFormat="1" ht="15" customHeight="1">
      <c r="B106" s="716" t="s">
        <v>2381</v>
      </c>
      <c r="C106" s="717">
        <v>230</v>
      </c>
      <c r="D106" s="718" t="s">
        <v>2365</v>
      </c>
      <c r="E106" s="719"/>
      <c r="F106" s="718"/>
      <c r="H106" s="720">
        <v>0</v>
      </c>
      <c r="I106" s="721">
        <v>0</v>
      </c>
      <c r="J106" s="722">
        <v>230</v>
      </c>
      <c r="K106" s="722">
        <v>230</v>
      </c>
      <c r="L106" s="722">
        <v>230</v>
      </c>
      <c r="M106" s="723" t="s">
        <v>2241</v>
      </c>
      <c r="N106" s="717">
        <v>230</v>
      </c>
      <c r="O106" s="724">
        <v>45686</v>
      </c>
      <c r="P106" s="725"/>
      <c r="Q106" s="725"/>
      <c r="R106" s="725"/>
      <c r="S106" s="725"/>
      <c r="T106" s="725"/>
      <c r="U106" s="725"/>
      <c r="V106" s="725">
        <v>230</v>
      </c>
      <c r="W106" s="725"/>
      <c r="X106" s="725"/>
      <c r="Y106" s="725"/>
      <c r="Z106" s="725"/>
      <c r="AA106" s="725"/>
      <c r="AB106" s="725"/>
      <c r="AC106" s="725"/>
      <c r="AD106" s="725"/>
      <c r="AE106" s="725"/>
      <c r="AF106" s="725"/>
      <c r="AG106" s="725"/>
      <c r="AH106" s="725"/>
      <c r="AI106" s="725"/>
      <c r="AJ106" s="725" t="s">
        <v>2303</v>
      </c>
      <c r="AK106" s="725" t="s">
        <v>2303</v>
      </c>
      <c r="AL106" s="725"/>
    </row>
    <row r="107" spans="2:38" s="231" customFormat="1" ht="15" customHeight="1">
      <c r="B107" s="716" t="s">
        <v>2382</v>
      </c>
      <c r="C107" s="717">
        <v>230</v>
      </c>
      <c r="D107" s="718" t="s">
        <v>2365</v>
      </c>
      <c r="E107" s="719"/>
      <c r="F107" s="718"/>
      <c r="H107" s="720">
        <v>0</v>
      </c>
      <c r="I107" s="721">
        <v>0</v>
      </c>
      <c r="J107" s="720">
        <v>230</v>
      </c>
      <c r="K107" s="720">
        <v>230</v>
      </c>
      <c r="L107" s="720">
        <v>230</v>
      </c>
      <c r="M107" s="723" t="s">
        <v>2241</v>
      </c>
      <c r="N107" s="717">
        <v>230</v>
      </c>
      <c r="O107" s="724">
        <v>45686</v>
      </c>
      <c r="P107" s="725"/>
      <c r="Q107" s="725"/>
      <c r="R107" s="725"/>
      <c r="S107" s="725"/>
      <c r="T107" s="725"/>
      <c r="U107" s="725"/>
      <c r="V107" s="725">
        <v>230</v>
      </c>
      <c r="W107" s="725"/>
      <c r="X107" s="725"/>
      <c r="Y107" s="725"/>
      <c r="Z107" s="725"/>
      <c r="AA107" s="725"/>
      <c r="AB107" s="725"/>
      <c r="AC107" s="725"/>
      <c r="AD107" s="725"/>
      <c r="AE107" s="725"/>
      <c r="AF107" s="725"/>
      <c r="AG107" s="725"/>
      <c r="AH107" s="725"/>
      <c r="AI107" s="725"/>
      <c r="AJ107" s="725" t="s">
        <v>2303</v>
      </c>
      <c r="AK107" s="725" t="s">
        <v>2303</v>
      </c>
      <c r="AL107" s="725"/>
    </row>
    <row r="108" spans="2:38" s="231" customFormat="1" ht="15" customHeight="1">
      <c r="B108" s="715" t="s">
        <v>2383</v>
      </c>
      <c r="C108" s="679"/>
      <c r="D108" s="679"/>
      <c r="E108" s="679"/>
      <c r="F108" s="679"/>
    </row>
    <row r="109" spans="2:38" s="231" customFormat="1" ht="15" customHeight="1">
      <c r="B109" s="716" t="s">
        <v>2384</v>
      </c>
      <c r="C109" s="717">
        <v>309</v>
      </c>
      <c r="D109" s="718" t="s">
        <v>2260</v>
      </c>
      <c r="E109" s="719" t="s">
        <v>2261</v>
      </c>
      <c r="F109" s="718" t="s">
        <v>2262</v>
      </c>
      <c r="H109" s="720">
        <v>0</v>
      </c>
      <c r="I109" s="721">
        <v>0</v>
      </c>
      <c r="J109" s="722">
        <v>309</v>
      </c>
      <c r="K109" s="722">
        <v>309</v>
      </c>
      <c r="L109" s="722">
        <v>309</v>
      </c>
      <c r="M109" s="723" t="s">
        <v>2235</v>
      </c>
      <c r="N109" s="717">
        <v>309</v>
      </c>
      <c r="O109" s="724">
        <v>45686</v>
      </c>
      <c r="P109" s="725">
        <v>309</v>
      </c>
      <c r="Q109" s="725"/>
      <c r="R109" s="725"/>
      <c r="S109" s="725"/>
      <c r="T109" s="725"/>
      <c r="U109" s="725"/>
      <c r="V109" s="725"/>
      <c r="W109" s="725"/>
      <c r="X109" s="725"/>
      <c r="Y109" s="725"/>
      <c r="Z109" s="725"/>
      <c r="AA109" s="725"/>
      <c r="AB109" s="725"/>
      <c r="AC109" s="725"/>
      <c r="AD109" s="725"/>
      <c r="AE109" s="725"/>
      <c r="AF109" s="725"/>
      <c r="AG109" s="725"/>
      <c r="AH109" s="725"/>
      <c r="AI109" s="725"/>
      <c r="AJ109" s="725" t="s">
        <v>2303</v>
      </c>
      <c r="AK109" s="725" t="s">
        <v>2303</v>
      </c>
      <c r="AL109" s="725"/>
    </row>
    <row r="110" spans="2:38" s="231" customFormat="1" ht="15" customHeight="1">
      <c r="B110" s="716" t="s">
        <v>2385</v>
      </c>
      <c r="C110" s="717">
        <v>241.5</v>
      </c>
      <c r="D110" s="718" t="s">
        <v>2260</v>
      </c>
      <c r="E110" s="719" t="s">
        <v>2261</v>
      </c>
      <c r="F110" s="718" t="s">
        <v>2326</v>
      </c>
      <c r="H110" s="720">
        <v>97.502459575184275</v>
      </c>
      <c r="I110" s="721">
        <v>0.60750126959645723</v>
      </c>
      <c r="J110" s="722">
        <v>160.49754042481572</v>
      </c>
      <c r="K110" s="722">
        <v>213.12778723125538</v>
      </c>
      <c r="L110" s="722">
        <v>258</v>
      </c>
      <c r="M110" s="723" t="s">
        <v>2237</v>
      </c>
      <c r="N110" s="717">
        <v>241.5</v>
      </c>
      <c r="O110" s="724">
        <v>45686</v>
      </c>
      <c r="P110" s="725">
        <v>258</v>
      </c>
      <c r="Q110" s="725">
        <v>225</v>
      </c>
      <c r="R110" s="725">
        <v>241.5</v>
      </c>
      <c r="S110" s="725"/>
      <c r="T110" s="725"/>
      <c r="U110" s="725"/>
      <c r="V110" s="725"/>
      <c r="W110" s="725"/>
      <c r="X110" s="725"/>
      <c r="Y110" s="725"/>
      <c r="Z110" s="725"/>
      <c r="AA110" s="725"/>
      <c r="AB110" s="725"/>
      <c r="AC110" s="725"/>
      <c r="AD110" s="725"/>
      <c r="AE110" s="725"/>
      <c r="AF110" s="725"/>
      <c r="AG110" s="725"/>
      <c r="AH110" s="725"/>
      <c r="AI110" s="725"/>
      <c r="AJ110" s="725">
        <v>160.49754042481572</v>
      </c>
      <c r="AK110" s="725">
        <v>180.64139573146122</v>
      </c>
      <c r="AL110" s="725"/>
    </row>
    <row r="111" spans="2:38" s="231" customFormat="1" ht="15" customHeight="1">
      <c r="B111" s="716" t="s">
        <v>2386</v>
      </c>
      <c r="C111" s="717">
        <v>292.5</v>
      </c>
      <c r="D111" s="718" t="s">
        <v>2260</v>
      </c>
      <c r="E111" s="719" t="s">
        <v>2261</v>
      </c>
      <c r="F111" s="718" t="s">
        <v>2262</v>
      </c>
      <c r="H111" s="720">
        <v>110.65752531458747</v>
      </c>
      <c r="I111" s="721">
        <v>0.60853508238944165</v>
      </c>
      <c r="J111" s="722">
        <v>181.84247468541253</v>
      </c>
      <c r="K111" s="722">
        <v>226.33592732534876</v>
      </c>
      <c r="L111" s="722">
        <v>292.5</v>
      </c>
      <c r="M111" s="723" t="s">
        <v>2235</v>
      </c>
      <c r="N111" s="717">
        <v>292.5</v>
      </c>
      <c r="O111" s="724">
        <v>45686</v>
      </c>
      <c r="P111" s="725">
        <v>292.5</v>
      </c>
      <c r="Q111" s="725"/>
      <c r="R111" s="725"/>
      <c r="S111" s="725"/>
      <c r="T111" s="725"/>
      <c r="U111" s="725"/>
      <c r="V111" s="725"/>
      <c r="W111" s="725"/>
      <c r="X111" s="725"/>
      <c r="Y111" s="725"/>
      <c r="Z111" s="725"/>
      <c r="AA111" s="725"/>
      <c r="AB111" s="725"/>
      <c r="AC111" s="725"/>
      <c r="AD111" s="725"/>
      <c r="AE111" s="725"/>
      <c r="AF111" s="725"/>
      <c r="AG111" s="725"/>
      <c r="AH111" s="725"/>
      <c r="AI111" s="725"/>
      <c r="AJ111" s="725">
        <v>181.84247468541253</v>
      </c>
      <c r="AK111" s="725">
        <v>204.66530729063376</v>
      </c>
      <c r="AL111" s="725"/>
    </row>
    <row r="112" spans="2:38" s="231" customFormat="1" ht="15" customHeight="1">
      <c r="B112" s="716" t="s">
        <v>2387</v>
      </c>
      <c r="C112" s="717">
        <v>292.5</v>
      </c>
      <c r="D112" s="718" t="s">
        <v>2260</v>
      </c>
      <c r="E112" s="719" t="s">
        <v>2261</v>
      </c>
      <c r="F112" s="718" t="s">
        <v>2262</v>
      </c>
      <c r="H112" s="720">
        <v>91.972916935107037</v>
      </c>
      <c r="I112" s="721">
        <v>0.45865583605653659</v>
      </c>
      <c r="J112" s="722">
        <v>200.52708306489296</v>
      </c>
      <c r="K112" s="722">
        <v>239.57402723267728</v>
      </c>
      <c r="L112" s="722">
        <v>292.5</v>
      </c>
      <c r="M112" s="723" t="s">
        <v>2235</v>
      </c>
      <c r="N112" s="717">
        <v>292.5</v>
      </c>
      <c r="O112" s="724">
        <v>45686</v>
      </c>
      <c r="P112" s="725">
        <v>292.5</v>
      </c>
      <c r="Q112" s="725"/>
      <c r="R112" s="725"/>
      <c r="S112" s="725"/>
      <c r="T112" s="725"/>
      <c r="U112" s="725"/>
      <c r="V112" s="725"/>
      <c r="W112" s="725"/>
      <c r="X112" s="725"/>
      <c r="Y112" s="725"/>
      <c r="Z112" s="725"/>
      <c r="AA112" s="725"/>
      <c r="AB112" s="725"/>
      <c r="AC112" s="725"/>
      <c r="AD112" s="725"/>
      <c r="AE112" s="725"/>
      <c r="AF112" s="725"/>
      <c r="AG112" s="725"/>
      <c r="AH112" s="725"/>
      <c r="AI112" s="725"/>
      <c r="AJ112" s="725">
        <v>200.52708306489296</v>
      </c>
      <c r="AK112" s="725">
        <v>225.69499863313882</v>
      </c>
      <c r="AL112" s="725"/>
    </row>
    <row r="113" spans="2:38" s="231" customFormat="1" ht="15" customHeight="1">
      <c r="B113" s="716" t="s">
        <v>2388</v>
      </c>
      <c r="C113" s="717">
        <v>308.39999999999998</v>
      </c>
      <c r="D113" s="718" t="s">
        <v>2260</v>
      </c>
      <c r="E113" s="719" t="s">
        <v>2261</v>
      </c>
      <c r="F113" s="718" t="s">
        <v>2262</v>
      </c>
      <c r="H113" s="720">
        <v>76.80054293140023</v>
      </c>
      <c r="I113" s="721">
        <v>0.33160933925959901</v>
      </c>
      <c r="J113" s="722">
        <v>231.59945706859975</v>
      </c>
      <c r="K113" s="722">
        <v>266.8888954635085</v>
      </c>
      <c r="L113" s="722">
        <v>308.39999999999998</v>
      </c>
      <c r="M113" s="723" t="s">
        <v>2235</v>
      </c>
      <c r="N113" s="717">
        <v>308.39999999999998</v>
      </c>
      <c r="O113" s="724">
        <v>45686</v>
      </c>
      <c r="P113" s="725">
        <v>308.39999999999998</v>
      </c>
      <c r="Q113" s="725"/>
      <c r="R113" s="725"/>
      <c r="S113" s="725"/>
      <c r="T113" s="725"/>
      <c r="U113" s="725"/>
      <c r="V113" s="725"/>
      <c r="W113" s="725"/>
      <c r="X113" s="725"/>
      <c r="Y113" s="725"/>
      <c r="Z113" s="725"/>
      <c r="AA113" s="725"/>
      <c r="AB113" s="725"/>
      <c r="AC113" s="725"/>
      <c r="AD113" s="725"/>
      <c r="AE113" s="725"/>
      <c r="AF113" s="725"/>
      <c r="AG113" s="725"/>
      <c r="AH113" s="725"/>
      <c r="AI113" s="725"/>
      <c r="AJ113" s="725">
        <v>231.59945706859975</v>
      </c>
      <c r="AK113" s="725">
        <v>260.66722932192579</v>
      </c>
      <c r="AL113" s="725"/>
    </row>
    <row r="114" spans="2:38" s="231" customFormat="1" ht="15" customHeight="1">
      <c r="B114" s="716" t="s">
        <v>2389</v>
      </c>
      <c r="C114" s="717">
        <v>318</v>
      </c>
      <c r="D114" s="718" t="s">
        <v>2260</v>
      </c>
      <c r="E114" s="719" t="s">
        <v>2261</v>
      </c>
      <c r="F114" s="718" t="s">
        <v>2262</v>
      </c>
      <c r="H114" s="720">
        <v>66.959862003899048</v>
      </c>
      <c r="I114" s="721">
        <v>0.26672970521127998</v>
      </c>
      <c r="J114" s="722">
        <v>251.04013799610095</v>
      </c>
      <c r="K114" s="722">
        <v>283.86267499144276</v>
      </c>
      <c r="L114" s="722">
        <v>318</v>
      </c>
      <c r="M114" s="723" t="s">
        <v>2235</v>
      </c>
      <c r="N114" s="717">
        <v>318</v>
      </c>
      <c r="O114" s="724">
        <v>45686</v>
      </c>
      <c r="P114" s="725">
        <v>318</v>
      </c>
      <c r="Q114" s="725"/>
      <c r="R114" s="725"/>
      <c r="S114" s="725"/>
      <c r="T114" s="725"/>
      <c r="U114" s="725"/>
      <c r="V114" s="725"/>
      <c r="W114" s="725"/>
      <c r="X114" s="725"/>
      <c r="Y114" s="725"/>
      <c r="Z114" s="725"/>
      <c r="AA114" s="725"/>
      <c r="AB114" s="725"/>
      <c r="AC114" s="725"/>
      <c r="AD114" s="725"/>
      <c r="AE114" s="725"/>
      <c r="AF114" s="725"/>
      <c r="AG114" s="725"/>
      <c r="AH114" s="725"/>
      <c r="AI114" s="725"/>
      <c r="AJ114" s="725">
        <v>251.04013799610095</v>
      </c>
      <c r="AK114" s="725">
        <v>282.54788697822733</v>
      </c>
      <c r="AL114" s="725"/>
    </row>
    <row r="115" spans="2:38" s="231" customFormat="1" ht="15" customHeight="1">
      <c r="B115" s="716" t="s">
        <v>2390</v>
      </c>
      <c r="C115" s="717">
        <v>327</v>
      </c>
      <c r="D115" s="718" t="s">
        <v>2260</v>
      </c>
      <c r="E115" s="719" t="s">
        <v>2261</v>
      </c>
      <c r="F115" s="718" t="s">
        <v>2262</v>
      </c>
      <c r="H115" s="720">
        <v>59.634825936070172</v>
      </c>
      <c r="I115" s="721">
        <v>0.22304634904249293</v>
      </c>
      <c r="J115" s="722">
        <v>267.36517406392983</v>
      </c>
      <c r="K115" s="722">
        <v>298.42901098668875</v>
      </c>
      <c r="L115" s="722">
        <v>327</v>
      </c>
      <c r="M115" s="723" t="s">
        <v>2235</v>
      </c>
      <c r="N115" s="717">
        <v>327</v>
      </c>
      <c r="O115" s="724">
        <v>45686</v>
      </c>
      <c r="P115" s="725">
        <v>327</v>
      </c>
      <c r="Q115" s="725"/>
      <c r="R115" s="725"/>
      <c r="S115" s="725"/>
      <c r="T115" s="725"/>
      <c r="U115" s="725"/>
      <c r="V115" s="725"/>
      <c r="W115" s="725"/>
      <c r="X115" s="725"/>
      <c r="Y115" s="725"/>
      <c r="Z115" s="725"/>
      <c r="AA115" s="725"/>
      <c r="AB115" s="725"/>
      <c r="AC115" s="725"/>
      <c r="AD115" s="725"/>
      <c r="AE115" s="725"/>
      <c r="AF115" s="725"/>
      <c r="AG115" s="725"/>
      <c r="AH115" s="725"/>
      <c r="AI115" s="725"/>
      <c r="AJ115" s="725">
        <v>267.36517406392983</v>
      </c>
      <c r="AK115" s="725">
        <v>300.92185889613648</v>
      </c>
      <c r="AL115" s="725"/>
    </row>
    <row r="116" spans="2:38" s="231" customFormat="1" ht="15" customHeight="1">
      <c r="B116" s="716" t="s">
        <v>2391</v>
      </c>
      <c r="C116" s="717">
        <v>375</v>
      </c>
      <c r="D116" s="718" t="s">
        <v>2260</v>
      </c>
      <c r="E116" s="719" t="s">
        <v>2261</v>
      </c>
      <c r="F116" s="718" t="s">
        <v>2262</v>
      </c>
      <c r="H116" s="720">
        <v>52.274880170909114</v>
      </c>
      <c r="I116" s="721">
        <v>0.16197958249606631</v>
      </c>
      <c r="J116" s="722">
        <v>322.72511982909089</v>
      </c>
      <c r="K116" s="722">
        <v>353.65169513501274</v>
      </c>
      <c r="L116" s="722">
        <v>375</v>
      </c>
      <c r="M116" s="723" t="s">
        <v>2235</v>
      </c>
      <c r="N116" s="717">
        <v>375</v>
      </c>
      <c r="O116" s="724">
        <v>45686</v>
      </c>
      <c r="P116" s="725">
        <v>375</v>
      </c>
      <c r="Q116" s="725"/>
      <c r="R116" s="725"/>
      <c r="S116" s="725"/>
      <c r="T116" s="725"/>
      <c r="U116" s="725"/>
      <c r="V116" s="725"/>
      <c r="W116" s="725"/>
      <c r="X116" s="725"/>
      <c r="Y116" s="725"/>
      <c r="Z116" s="725"/>
      <c r="AA116" s="725"/>
      <c r="AB116" s="725"/>
      <c r="AC116" s="725"/>
      <c r="AD116" s="725"/>
      <c r="AE116" s="725"/>
      <c r="AF116" s="725"/>
      <c r="AG116" s="725"/>
      <c r="AH116" s="725"/>
      <c r="AI116" s="725"/>
      <c r="AJ116" s="725">
        <v>322.72511982909089</v>
      </c>
      <c r="AK116" s="725">
        <v>363.22996557594746</v>
      </c>
      <c r="AL116" s="725"/>
    </row>
    <row r="117" spans="2:38" s="231" customFormat="1" ht="15" customHeight="1">
      <c r="B117" s="716" t="s">
        <v>2392</v>
      </c>
      <c r="C117" s="717">
        <v>399</v>
      </c>
      <c r="D117" s="718" t="s">
        <v>2260</v>
      </c>
      <c r="E117" s="719" t="s">
        <v>2261</v>
      </c>
      <c r="F117" s="718" t="s">
        <v>2262</v>
      </c>
      <c r="H117" s="720">
        <v>112.76760162545787</v>
      </c>
      <c r="I117" s="721">
        <v>0.28262556798360366</v>
      </c>
      <c r="J117" s="722">
        <v>399</v>
      </c>
      <c r="K117" s="722">
        <v>455.15549573751781</v>
      </c>
      <c r="L117" s="722">
        <v>511.76760162545787</v>
      </c>
      <c r="M117" s="723" t="s">
        <v>2235</v>
      </c>
      <c r="N117" s="717">
        <v>399</v>
      </c>
      <c r="O117" s="724">
        <v>45686</v>
      </c>
      <c r="P117" s="725">
        <v>399</v>
      </c>
      <c r="Q117" s="725"/>
      <c r="R117" s="725"/>
      <c r="S117" s="725"/>
      <c r="T117" s="725"/>
      <c r="U117" s="725"/>
      <c r="V117" s="725"/>
      <c r="W117" s="725"/>
      <c r="X117" s="725"/>
      <c r="Y117" s="725"/>
      <c r="Z117" s="725"/>
      <c r="AA117" s="725"/>
      <c r="AB117" s="725"/>
      <c r="AC117" s="725"/>
      <c r="AD117" s="725"/>
      <c r="AE117" s="725"/>
      <c r="AF117" s="725"/>
      <c r="AG117" s="725"/>
      <c r="AH117" s="725"/>
      <c r="AI117" s="725"/>
      <c r="AJ117" s="725">
        <v>454.69888558709539</v>
      </c>
      <c r="AK117" s="725">
        <v>511.76760162545787</v>
      </c>
      <c r="AL117" s="725"/>
    </row>
    <row r="118" spans="2:38" s="231" customFormat="1" ht="15" customHeight="1">
      <c r="B118" s="726" t="s">
        <v>2393</v>
      </c>
      <c r="C118" s="717">
        <v>411</v>
      </c>
      <c r="D118" s="718" t="s">
        <v>2260</v>
      </c>
      <c r="E118" s="719" t="s">
        <v>2261</v>
      </c>
      <c r="F118" s="718" t="s">
        <v>2262</v>
      </c>
      <c r="H118" s="720">
        <v>661.75385055183824</v>
      </c>
      <c r="I118" s="721">
        <v>1.610106692340239</v>
      </c>
      <c r="J118" s="722">
        <v>411</v>
      </c>
      <c r="K118" s="722">
        <v>812.29391745627652</v>
      </c>
      <c r="L118" s="722">
        <v>1072.7538505518382</v>
      </c>
      <c r="M118" s="723" t="s">
        <v>2235</v>
      </c>
      <c r="N118" s="717">
        <v>411</v>
      </c>
      <c r="O118" s="724">
        <v>45686</v>
      </c>
      <c r="P118" s="725">
        <v>411</v>
      </c>
      <c r="Q118" s="725"/>
      <c r="R118" s="725"/>
      <c r="S118" s="725"/>
      <c r="T118" s="725"/>
      <c r="U118" s="725"/>
      <c r="V118" s="725"/>
      <c r="W118" s="725"/>
      <c r="X118" s="725"/>
      <c r="Y118" s="725"/>
      <c r="Z118" s="725"/>
      <c r="AA118" s="725"/>
      <c r="AB118" s="725"/>
      <c r="AC118" s="725"/>
      <c r="AD118" s="725"/>
      <c r="AE118" s="725"/>
      <c r="AF118" s="725"/>
      <c r="AG118" s="725"/>
      <c r="AH118" s="725"/>
      <c r="AI118" s="725"/>
      <c r="AJ118" s="725">
        <v>953.12790181699097</v>
      </c>
      <c r="AK118" s="725">
        <v>1072.7538505518382</v>
      </c>
      <c r="AL118" s="725"/>
    </row>
    <row r="119" spans="2:38" s="231" customFormat="1" ht="15" customHeight="1">
      <c r="B119" s="715" t="s">
        <v>2394</v>
      </c>
      <c r="C119" s="679"/>
      <c r="D119" s="679"/>
      <c r="E119" s="679"/>
      <c r="F119" s="679"/>
    </row>
    <row r="120" spans="2:38" s="231" customFormat="1" ht="15" customHeight="1">
      <c r="B120" s="716" t="s">
        <v>2395</v>
      </c>
      <c r="C120" s="717">
        <v>629.34068068377167</v>
      </c>
      <c r="D120" s="718" t="s">
        <v>2260</v>
      </c>
      <c r="E120" s="719"/>
      <c r="F120" s="718"/>
      <c r="H120" s="720">
        <v>70.179637169797161</v>
      </c>
      <c r="I120" s="721">
        <v>0.12550881</v>
      </c>
      <c r="J120" s="722">
        <v>559.16104351397451</v>
      </c>
      <c r="K120" s="722">
        <v>594.25086209887309</v>
      </c>
      <c r="L120" s="722">
        <v>629.34068068377167</v>
      </c>
      <c r="M120" s="723" t="s">
        <v>2256</v>
      </c>
      <c r="N120" s="717">
        <v>629.34068068377167</v>
      </c>
      <c r="O120" s="724">
        <v>45686</v>
      </c>
      <c r="P120" s="725"/>
      <c r="Q120" s="725"/>
      <c r="R120" s="725"/>
      <c r="S120" s="725"/>
      <c r="T120" s="725"/>
      <c r="U120" s="725"/>
      <c r="V120" s="725"/>
      <c r="W120" s="725"/>
      <c r="X120" s="725"/>
      <c r="Y120" s="725"/>
      <c r="Z120" s="725"/>
      <c r="AA120" s="725"/>
      <c r="AB120" s="725"/>
      <c r="AC120" s="725"/>
      <c r="AD120" s="725"/>
      <c r="AE120" s="725"/>
      <c r="AF120" s="725"/>
      <c r="AG120" s="725"/>
      <c r="AH120" s="725"/>
      <c r="AI120" s="725"/>
      <c r="AJ120" s="725">
        <v>559.16104351397451</v>
      </c>
      <c r="AK120" s="725">
        <v>629.34068068377167</v>
      </c>
      <c r="AL120" s="725"/>
    </row>
    <row r="121" spans="2:38" s="231" customFormat="1" ht="15" customHeight="1">
      <c r="B121" s="716" t="s">
        <v>2396</v>
      </c>
      <c r="C121" s="717">
        <v>6000</v>
      </c>
      <c r="D121" s="718" t="s">
        <v>2284</v>
      </c>
      <c r="E121" s="719"/>
      <c r="F121" s="718"/>
      <c r="H121" s="720">
        <v>6000</v>
      </c>
      <c r="I121" s="721" t="s">
        <v>2272</v>
      </c>
      <c r="J121" s="722">
        <v>0</v>
      </c>
      <c r="K121" s="722">
        <v>3000</v>
      </c>
      <c r="L121" s="722">
        <v>6000</v>
      </c>
      <c r="M121" s="723" t="s">
        <v>2257</v>
      </c>
      <c r="N121" s="717">
        <v>6000</v>
      </c>
      <c r="O121" s="724">
        <v>45686</v>
      </c>
      <c r="P121" s="725"/>
      <c r="Q121" s="725"/>
      <c r="R121" s="725"/>
      <c r="S121" s="725"/>
      <c r="T121" s="725"/>
      <c r="U121" s="725"/>
      <c r="V121" s="725"/>
      <c r="W121" s="725"/>
      <c r="X121" s="725"/>
      <c r="Y121" s="725"/>
      <c r="Z121" s="725"/>
      <c r="AA121" s="725"/>
      <c r="AB121" s="725"/>
      <c r="AC121" s="725"/>
      <c r="AD121" s="725"/>
      <c r="AE121" s="725"/>
      <c r="AF121" s="725"/>
      <c r="AG121" s="725"/>
      <c r="AH121" s="725"/>
      <c r="AI121" s="725"/>
      <c r="AJ121" s="725"/>
      <c r="AK121" s="725">
        <v>0</v>
      </c>
      <c r="AL121" s="725">
        <v>6000</v>
      </c>
    </row>
    <row r="122" spans="2:38" s="231" customFormat="1" ht="15" customHeight="1">
      <c r="B122" s="715" t="s">
        <v>2397</v>
      </c>
      <c r="C122" s="679"/>
      <c r="D122" s="679"/>
      <c r="E122" s="679"/>
      <c r="F122" s="679"/>
    </row>
    <row r="123" spans="2:38" s="231" customFormat="1" ht="15" customHeight="1">
      <c r="B123" s="716" t="s">
        <v>2398</v>
      </c>
      <c r="C123" s="717">
        <v>10.692333694999999</v>
      </c>
      <c r="D123" s="718" t="s">
        <v>2260</v>
      </c>
      <c r="E123" s="719"/>
      <c r="F123" s="718" t="s">
        <v>2399</v>
      </c>
      <c r="H123" s="720">
        <v>1.1923336949999985</v>
      </c>
      <c r="I123" s="721">
        <v>0.12550880999999983</v>
      </c>
      <c r="J123" s="722">
        <v>9.5</v>
      </c>
      <c r="K123" s="722">
        <v>10.096166847499999</v>
      </c>
      <c r="L123" s="722">
        <v>10.692333694999999</v>
      </c>
      <c r="M123" s="723" t="s">
        <v>2256</v>
      </c>
      <c r="N123" s="717">
        <v>10.692333694999999</v>
      </c>
      <c r="O123" s="724">
        <v>45686</v>
      </c>
      <c r="P123" s="725"/>
      <c r="Q123" s="725"/>
      <c r="R123" s="725"/>
      <c r="S123" s="725"/>
      <c r="T123" s="725"/>
      <c r="U123" s="725"/>
      <c r="V123" s="725"/>
      <c r="W123" s="725"/>
      <c r="X123" s="725"/>
      <c r="Y123" s="725"/>
      <c r="Z123" s="725"/>
      <c r="AA123" s="725"/>
      <c r="AB123" s="725"/>
      <c r="AC123" s="725"/>
      <c r="AD123" s="725"/>
      <c r="AE123" s="725"/>
      <c r="AF123" s="725"/>
      <c r="AG123" s="725"/>
      <c r="AH123" s="725"/>
      <c r="AI123" s="725"/>
      <c r="AJ123" s="725">
        <v>9.5</v>
      </c>
      <c r="AK123" s="725">
        <v>10.692333694999999</v>
      </c>
      <c r="AL123" s="725"/>
    </row>
    <row r="124" spans="2:38" s="231" customFormat="1" ht="15" customHeight="1">
      <c r="B124" s="716" t="s">
        <v>2400</v>
      </c>
      <c r="C124" s="717">
        <v>10.692333694999999</v>
      </c>
      <c r="D124" s="718" t="s">
        <v>2260</v>
      </c>
      <c r="E124" s="719"/>
      <c r="F124" s="718" t="s">
        <v>2399</v>
      </c>
      <c r="H124" s="720">
        <v>1.1923336949999985</v>
      </c>
      <c r="I124" s="721">
        <v>0.12550880999999983</v>
      </c>
      <c r="J124" s="722">
        <v>9.5</v>
      </c>
      <c r="K124" s="722">
        <v>10.096166847499999</v>
      </c>
      <c r="L124" s="722">
        <v>10.692333694999999</v>
      </c>
      <c r="M124" s="723" t="s">
        <v>2256</v>
      </c>
      <c r="N124" s="717">
        <v>10.692333694999999</v>
      </c>
      <c r="O124" s="724">
        <v>45686</v>
      </c>
      <c r="P124" s="725"/>
      <c r="Q124" s="725"/>
      <c r="R124" s="725"/>
      <c r="S124" s="725"/>
      <c r="T124" s="725"/>
      <c r="U124" s="725"/>
      <c r="V124" s="725"/>
      <c r="W124" s="725"/>
      <c r="X124" s="725"/>
      <c r="Y124" s="725"/>
      <c r="Z124" s="725"/>
      <c r="AA124" s="725"/>
      <c r="AB124" s="725"/>
      <c r="AC124" s="725"/>
      <c r="AD124" s="725"/>
      <c r="AE124" s="725"/>
      <c r="AF124" s="725"/>
      <c r="AG124" s="725"/>
      <c r="AH124" s="725"/>
      <c r="AI124" s="725"/>
      <c r="AJ124" s="725">
        <v>9.5</v>
      </c>
      <c r="AK124" s="725">
        <v>10.692333694999999</v>
      </c>
      <c r="AL124" s="725"/>
    </row>
    <row r="125" spans="2:38" s="231" customFormat="1" ht="15" customHeight="1">
      <c r="B125" s="716" t="s">
        <v>2401</v>
      </c>
      <c r="C125" s="717">
        <v>10.856470396458333</v>
      </c>
      <c r="D125" s="718" t="s">
        <v>2260</v>
      </c>
      <c r="E125" s="719"/>
      <c r="H125" s="720">
        <v>1.2106370631249987</v>
      </c>
      <c r="I125" s="721">
        <v>0.12550880999999986</v>
      </c>
      <c r="J125" s="720">
        <v>9.6458333333333339</v>
      </c>
      <c r="K125" s="720">
        <v>10.251151864895833</v>
      </c>
      <c r="L125" s="720">
        <v>10.856470396458333</v>
      </c>
      <c r="M125" s="723" t="s">
        <v>2256</v>
      </c>
      <c r="N125" s="717">
        <v>10.856470396458333</v>
      </c>
      <c r="O125" s="724">
        <v>45686</v>
      </c>
      <c r="P125" s="725"/>
      <c r="Q125" s="725"/>
      <c r="R125" s="725"/>
      <c r="S125" s="725"/>
      <c r="T125" s="725"/>
      <c r="U125" s="725"/>
      <c r="V125" s="725"/>
      <c r="W125" s="725"/>
      <c r="X125" s="725"/>
      <c r="Y125" s="725"/>
      <c r="Z125" s="725"/>
      <c r="AA125" s="725"/>
      <c r="AB125" s="725"/>
      <c r="AC125" s="725"/>
      <c r="AD125" s="725"/>
      <c r="AE125" s="725"/>
      <c r="AF125" s="725"/>
      <c r="AG125" s="725"/>
      <c r="AH125" s="725"/>
      <c r="AI125" s="725"/>
      <c r="AJ125" s="725">
        <v>9.6458333333333339</v>
      </c>
      <c r="AK125" s="725">
        <v>10.856470396458333</v>
      </c>
      <c r="AL125" s="725"/>
    </row>
    <row r="126" spans="2:38" s="231" customFormat="1" ht="15" customHeight="1">
      <c r="B126" s="715" t="s">
        <v>2402</v>
      </c>
      <c r="C126" s="679"/>
      <c r="D126" s="679"/>
      <c r="E126" s="679"/>
      <c r="F126" s="718" t="s">
        <v>2399</v>
      </c>
    </row>
    <row r="127" spans="2:38" s="231" customFormat="1" ht="15" customHeight="1">
      <c r="B127" s="716" t="s">
        <v>2403</v>
      </c>
      <c r="C127" s="717">
        <v>236.84</v>
      </c>
      <c r="D127" s="718" t="s">
        <v>2284</v>
      </c>
      <c r="E127" s="719" t="s">
        <v>2404</v>
      </c>
      <c r="F127" s="718" t="s">
        <v>2405</v>
      </c>
      <c r="H127" s="720">
        <v>56.939688136510455</v>
      </c>
      <c r="I127" s="721">
        <v>0.24041415359107607</v>
      </c>
      <c r="J127" s="722">
        <v>236.84</v>
      </c>
      <c r="K127" s="722">
        <v>263.87971199550344</v>
      </c>
      <c r="L127" s="722">
        <v>293.77968813651046</v>
      </c>
      <c r="M127" s="723" t="s">
        <v>2249</v>
      </c>
      <c r="N127" s="717">
        <v>236.84</v>
      </c>
      <c r="O127" s="724">
        <v>45686</v>
      </c>
      <c r="P127" s="725"/>
      <c r="Q127" s="725"/>
      <c r="R127" s="725"/>
      <c r="S127" s="725"/>
      <c r="T127" s="725"/>
      <c r="U127" s="725"/>
      <c r="V127" s="725"/>
      <c r="W127" s="725"/>
      <c r="X127" s="725"/>
      <c r="Y127" s="725"/>
      <c r="Z127" s="725"/>
      <c r="AA127" s="725"/>
      <c r="AB127" s="725"/>
      <c r="AC127" s="725"/>
      <c r="AD127" s="725">
        <v>236.84</v>
      </c>
      <c r="AE127" s="725"/>
      <c r="AF127" s="725"/>
      <c r="AG127" s="725"/>
      <c r="AH127" s="725"/>
      <c r="AI127" s="725"/>
      <c r="AJ127" s="725">
        <v>261.01944784999995</v>
      </c>
      <c r="AK127" s="725">
        <v>293.77968813651046</v>
      </c>
      <c r="AL127" s="725"/>
    </row>
    <row r="128" spans="2:38" s="231" customFormat="1" ht="15" customHeight="1">
      <c r="B128" s="715" t="s">
        <v>2406</v>
      </c>
      <c r="C128" s="679"/>
      <c r="D128" s="679"/>
      <c r="E128" s="679"/>
      <c r="F128" s="679"/>
    </row>
    <row r="129" spans="2:38" s="231" customFormat="1" ht="15" customHeight="1">
      <c r="B129" s="716" t="s">
        <v>312</v>
      </c>
      <c r="C129" s="717">
        <v>47</v>
      </c>
      <c r="D129" s="718" t="s">
        <v>221</v>
      </c>
      <c r="E129" s="719"/>
      <c r="F129" s="718" t="s">
        <v>2271</v>
      </c>
      <c r="H129" s="720">
        <v>65.55088099999999</v>
      </c>
      <c r="I129" s="721">
        <v>1.3946995957446806</v>
      </c>
      <c r="J129" s="722">
        <v>47</v>
      </c>
      <c r="K129" s="722">
        <v>86.51696033333333</v>
      </c>
      <c r="L129" s="722">
        <v>112.55088099999999</v>
      </c>
      <c r="M129" s="723" t="s">
        <v>2248</v>
      </c>
      <c r="N129" s="717">
        <v>47</v>
      </c>
      <c r="O129" s="724">
        <v>45686</v>
      </c>
      <c r="P129" s="725"/>
      <c r="Q129" s="725"/>
      <c r="R129" s="725"/>
      <c r="S129" s="725"/>
      <c r="T129" s="725"/>
      <c r="U129" s="725"/>
      <c r="V129" s="725"/>
      <c r="W129" s="725"/>
      <c r="X129" s="725"/>
      <c r="Y129" s="725"/>
      <c r="Z129" s="725"/>
      <c r="AA129" s="725"/>
      <c r="AB129" s="725"/>
      <c r="AC129" s="725">
        <v>47</v>
      </c>
      <c r="AD129" s="725"/>
      <c r="AE129" s="725"/>
      <c r="AF129" s="725"/>
      <c r="AG129" s="725"/>
      <c r="AH129" s="725"/>
      <c r="AI129" s="725"/>
      <c r="AJ129" s="725">
        <v>100</v>
      </c>
      <c r="AK129" s="725">
        <v>112.55088099999999</v>
      </c>
      <c r="AL129" s="725"/>
    </row>
    <row r="130" spans="2:38" s="231" customFormat="1" ht="15" customHeight="1">
      <c r="B130" s="716" t="s">
        <v>313</v>
      </c>
      <c r="C130" s="717">
        <v>77</v>
      </c>
      <c r="D130" s="718" t="s">
        <v>221</v>
      </c>
      <c r="E130" s="719"/>
      <c r="F130" s="718" t="s">
        <v>2271</v>
      </c>
      <c r="H130" s="720">
        <v>8.7856166999999914</v>
      </c>
      <c r="I130" s="721">
        <v>0.12550880999999989</v>
      </c>
      <c r="J130" s="722">
        <v>70</v>
      </c>
      <c r="K130" s="722">
        <v>75.261872233333335</v>
      </c>
      <c r="L130" s="722">
        <v>78.785616699999991</v>
      </c>
      <c r="M130" s="723" t="s">
        <v>2248</v>
      </c>
      <c r="N130" s="717">
        <v>77</v>
      </c>
      <c r="O130" s="724">
        <v>45686</v>
      </c>
      <c r="P130" s="725"/>
      <c r="Q130" s="725"/>
      <c r="R130" s="725"/>
      <c r="S130" s="725"/>
      <c r="T130" s="725"/>
      <c r="U130" s="725"/>
      <c r="V130" s="725"/>
      <c r="W130" s="725"/>
      <c r="X130" s="725"/>
      <c r="Y130" s="725"/>
      <c r="Z130" s="725"/>
      <c r="AA130" s="725"/>
      <c r="AB130" s="725"/>
      <c r="AC130" s="725">
        <v>77</v>
      </c>
      <c r="AD130" s="725"/>
      <c r="AE130" s="725"/>
      <c r="AF130" s="725"/>
      <c r="AG130" s="725"/>
      <c r="AH130" s="725"/>
      <c r="AI130" s="725"/>
      <c r="AJ130" s="725">
        <v>70</v>
      </c>
      <c r="AK130" s="725">
        <v>78.785616699999991</v>
      </c>
      <c r="AL130" s="725"/>
    </row>
    <row r="131" spans="2:38" s="231" customFormat="1" ht="15" customHeight="1">
      <c r="B131" s="716" t="s">
        <v>314</v>
      </c>
      <c r="C131" s="717">
        <v>67.530528599999997</v>
      </c>
      <c r="D131" s="718" t="s">
        <v>221</v>
      </c>
      <c r="E131" s="719"/>
      <c r="F131" s="718"/>
      <c r="H131" s="720">
        <v>7.5305285999999967</v>
      </c>
      <c r="I131" s="721">
        <v>0.12550880999999994</v>
      </c>
      <c r="J131" s="722">
        <v>60</v>
      </c>
      <c r="K131" s="722">
        <v>63.765264299999998</v>
      </c>
      <c r="L131" s="722">
        <v>67.530528599999997</v>
      </c>
      <c r="M131" s="723" t="s">
        <v>2256</v>
      </c>
      <c r="N131" s="717">
        <v>67.530528599999997</v>
      </c>
      <c r="O131" s="724">
        <v>45686</v>
      </c>
      <c r="P131" s="725"/>
      <c r="Q131" s="725"/>
      <c r="R131" s="725"/>
      <c r="S131" s="725"/>
      <c r="T131" s="725"/>
      <c r="U131" s="725"/>
      <c r="V131" s="725"/>
      <c r="W131" s="725"/>
      <c r="X131" s="725"/>
      <c r="Y131" s="725"/>
      <c r="Z131" s="725"/>
      <c r="AA131" s="725"/>
      <c r="AB131" s="725"/>
      <c r="AC131" s="725"/>
      <c r="AD131" s="725"/>
      <c r="AE131" s="725"/>
      <c r="AF131" s="725"/>
      <c r="AG131" s="725"/>
      <c r="AH131" s="725"/>
      <c r="AI131" s="725"/>
      <c r="AJ131" s="725">
        <v>60</v>
      </c>
      <c r="AK131" s="725">
        <v>67.530528599999997</v>
      </c>
      <c r="AL131" s="725"/>
    </row>
    <row r="132" spans="2:38" s="231" customFormat="1" ht="15" customHeight="1">
      <c r="B132" s="716" t="s">
        <v>315</v>
      </c>
      <c r="C132" s="717">
        <v>114.5305286</v>
      </c>
      <c r="D132" s="718" t="s">
        <v>221</v>
      </c>
      <c r="E132" s="719"/>
      <c r="F132" s="718" t="s">
        <v>2407</v>
      </c>
      <c r="H132" s="720"/>
      <c r="I132" s="721"/>
      <c r="J132" s="722"/>
      <c r="K132" s="722"/>
      <c r="L132" s="722"/>
      <c r="M132" s="723" t="s">
        <v>2257</v>
      </c>
      <c r="N132" s="717">
        <v>114.5305286</v>
      </c>
      <c r="O132" s="724">
        <v>45686</v>
      </c>
      <c r="P132" s="725"/>
      <c r="Q132" s="725"/>
      <c r="R132" s="725"/>
      <c r="S132" s="725"/>
      <c r="T132" s="725"/>
      <c r="U132" s="725"/>
      <c r="V132" s="725"/>
      <c r="W132" s="725"/>
      <c r="X132" s="725"/>
      <c r="Y132" s="725"/>
      <c r="Z132" s="725"/>
      <c r="AA132" s="725"/>
      <c r="AB132" s="725"/>
      <c r="AC132" s="725"/>
      <c r="AD132" s="725"/>
      <c r="AE132" s="725"/>
      <c r="AF132" s="725"/>
      <c r="AG132" s="725"/>
      <c r="AH132" s="725"/>
      <c r="AI132" s="725"/>
      <c r="AJ132" s="725"/>
      <c r="AK132" s="725"/>
      <c r="AL132" s="725"/>
    </row>
    <row r="133" spans="2:38" s="231" customFormat="1" ht="15" customHeight="1">
      <c r="B133" s="716" t="s">
        <v>316</v>
      </c>
      <c r="C133" s="717">
        <v>45.020352399999993</v>
      </c>
      <c r="D133" s="718" t="s">
        <v>221</v>
      </c>
      <c r="E133" s="719"/>
      <c r="F133" s="718"/>
      <c r="H133" s="720">
        <v>5.0203523999999931</v>
      </c>
      <c r="I133" s="721">
        <v>0.12550880999999983</v>
      </c>
      <c r="J133" s="722">
        <v>40</v>
      </c>
      <c r="K133" s="722">
        <v>42.510176199999997</v>
      </c>
      <c r="L133" s="722">
        <v>45.020352399999993</v>
      </c>
      <c r="M133" s="723" t="s">
        <v>2256</v>
      </c>
      <c r="N133" s="717">
        <v>45.020352399999993</v>
      </c>
      <c r="O133" s="724">
        <v>45686</v>
      </c>
      <c r="P133" s="725"/>
      <c r="Q133" s="725"/>
      <c r="R133" s="725"/>
      <c r="S133" s="725"/>
      <c r="T133" s="725"/>
      <c r="U133" s="725"/>
      <c r="V133" s="725"/>
      <c r="W133" s="725"/>
      <c r="X133" s="725"/>
      <c r="Y133" s="725"/>
      <c r="Z133" s="725"/>
      <c r="AA133" s="725"/>
      <c r="AB133" s="725"/>
      <c r="AC133" s="725"/>
      <c r="AD133" s="725"/>
      <c r="AE133" s="725"/>
      <c r="AF133" s="725"/>
      <c r="AG133" s="725"/>
      <c r="AH133" s="725"/>
      <c r="AI133" s="725"/>
      <c r="AJ133" s="725">
        <v>40</v>
      </c>
      <c r="AK133" s="725">
        <v>45.020352399999993</v>
      </c>
      <c r="AL133" s="725"/>
    </row>
    <row r="134" spans="2:38" s="231" customFormat="1" ht="15" customHeight="1">
      <c r="B134" s="716" t="s">
        <v>317</v>
      </c>
      <c r="C134" s="717">
        <v>1125.5088099999998</v>
      </c>
      <c r="D134" s="718" t="s">
        <v>221</v>
      </c>
      <c r="E134" s="719"/>
      <c r="F134" s="718"/>
      <c r="H134" s="720">
        <v>125.50880999999981</v>
      </c>
      <c r="I134" s="721">
        <v>0.1255088099999998</v>
      </c>
      <c r="J134" s="722">
        <v>1000</v>
      </c>
      <c r="K134" s="722">
        <v>1062.7544049999999</v>
      </c>
      <c r="L134" s="722">
        <v>1125.5088099999998</v>
      </c>
      <c r="M134" s="723" t="s">
        <v>2256</v>
      </c>
      <c r="N134" s="717">
        <v>1125.5088099999998</v>
      </c>
      <c r="O134" s="724">
        <v>45686</v>
      </c>
      <c r="P134" s="725"/>
      <c r="Q134" s="725"/>
      <c r="R134" s="725"/>
      <c r="S134" s="725"/>
      <c r="T134" s="725"/>
      <c r="U134" s="725"/>
      <c r="V134" s="725"/>
      <c r="W134" s="725"/>
      <c r="X134" s="725"/>
      <c r="Y134" s="725"/>
      <c r="Z134" s="725"/>
      <c r="AA134" s="725"/>
      <c r="AB134" s="725"/>
      <c r="AC134" s="725"/>
      <c r="AD134" s="725"/>
      <c r="AE134" s="725"/>
      <c r="AF134" s="725"/>
      <c r="AG134" s="725"/>
      <c r="AH134" s="725"/>
      <c r="AI134" s="725"/>
      <c r="AJ134" s="725">
        <v>1000</v>
      </c>
      <c r="AK134" s="725">
        <v>1125.5088099999998</v>
      </c>
      <c r="AL134" s="725"/>
    </row>
    <row r="135" spans="2:38" s="231" customFormat="1" ht="15" customHeight="1">
      <c r="B135" s="716" t="s">
        <v>318</v>
      </c>
      <c r="C135" s="717">
        <v>500</v>
      </c>
      <c r="D135" s="718" t="s">
        <v>221</v>
      </c>
      <c r="E135" s="719"/>
      <c r="F135" s="718"/>
      <c r="H135" s="720">
        <v>500</v>
      </c>
      <c r="I135" s="721" t="s">
        <v>2272</v>
      </c>
      <c r="J135" s="722">
        <v>0</v>
      </c>
      <c r="K135" s="722">
        <v>250</v>
      </c>
      <c r="L135" s="722">
        <v>500</v>
      </c>
      <c r="M135" s="723" t="s">
        <v>2257</v>
      </c>
      <c r="N135" s="717">
        <v>500</v>
      </c>
      <c r="O135" s="724">
        <v>45686</v>
      </c>
      <c r="P135" s="725"/>
      <c r="Q135" s="725"/>
      <c r="R135" s="725"/>
      <c r="S135" s="725"/>
      <c r="T135" s="725"/>
      <c r="U135" s="725"/>
      <c r="V135" s="725"/>
      <c r="W135" s="725"/>
      <c r="X135" s="725"/>
      <c r="Y135" s="725"/>
      <c r="Z135" s="725"/>
      <c r="AA135" s="725"/>
      <c r="AB135" s="725"/>
      <c r="AC135" s="725"/>
      <c r="AD135" s="725"/>
      <c r="AE135" s="725"/>
      <c r="AF135" s="725"/>
      <c r="AG135" s="725"/>
      <c r="AH135" s="725"/>
      <c r="AI135" s="725"/>
      <c r="AJ135" s="725"/>
      <c r="AK135" s="725">
        <v>0</v>
      </c>
      <c r="AL135" s="725">
        <v>500</v>
      </c>
    </row>
    <row r="136" spans="2:38" s="231" customFormat="1" ht="15" customHeight="1">
      <c r="B136" s="716" t="s">
        <v>319</v>
      </c>
      <c r="C136" s="717">
        <v>3</v>
      </c>
      <c r="D136" s="718" t="s">
        <v>2344</v>
      </c>
      <c r="E136" s="719"/>
      <c r="F136" s="718"/>
      <c r="H136" s="720">
        <v>3</v>
      </c>
      <c r="I136" s="721" t="s">
        <v>2272</v>
      </c>
      <c r="J136" s="722">
        <v>0</v>
      </c>
      <c r="K136" s="722">
        <v>1.5</v>
      </c>
      <c r="L136" s="722">
        <v>3</v>
      </c>
      <c r="M136" s="723" t="s">
        <v>2257</v>
      </c>
      <c r="N136" s="717">
        <v>3</v>
      </c>
      <c r="O136" s="724">
        <v>45686</v>
      </c>
      <c r="P136" s="725"/>
      <c r="Q136" s="725"/>
      <c r="R136" s="725"/>
      <c r="S136" s="725"/>
      <c r="T136" s="725"/>
      <c r="U136" s="725"/>
      <c r="V136" s="725"/>
      <c r="W136" s="725"/>
      <c r="X136" s="725"/>
      <c r="Y136" s="725"/>
      <c r="Z136" s="725"/>
      <c r="AA136" s="725"/>
      <c r="AB136" s="725"/>
      <c r="AC136" s="725"/>
      <c r="AD136" s="725"/>
      <c r="AE136" s="725"/>
      <c r="AF136" s="725"/>
      <c r="AG136" s="725"/>
      <c r="AH136" s="725"/>
      <c r="AI136" s="725"/>
      <c r="AJ136" s="725"/>
      <c r="AK136" s="725">
        <v>0</v>
      </c>
      <c r="AL136" s="725">
        <v>3</v>
      </c>
    </row>
    <row r="137" spans="2:38" s="231" customFormat="1" ht="15" customHeight="1">
      <c r="B137" s="716" t="s">
        <v>940</v>
      </c>
      <c r="C137" s="717">
        <v>1</v>
      </c>
      <c r="D137" s="718" t="s">
        <v>923</v>
      </c>
      <c r="E137" s="719"/>
      <c r="F137" s="718"/>
      <c r="H137" s="720">
        <v>1</v>
      </c>
      <c r="I137" s="721" t="s">
        <v>2272</v>
      </c>
      <c r="J137" s="722">
        <v>0</v>
      </c>
      <c r="K137" s="722">
        <v>0.5</v>
      </c>
      <c r="L137" s="722">
        <v>1</v>
      </c>
      <c r="M137" s="723" t="s">
        <v>2257</v>
      </c>
      <c r="N137" s="717">
        <v>1</v>
      </c>
      <c r="O137" s="724">
        <v>45686</v>
      </c>
      <c r="P137" s="725"/>
      <c r="Q137" s="725"/>
      <c r="R137" s="725"/>
      <c r="S137" s="725"/>
      <c r="T137" s="725"/>
      <c r="U137" s="725"/>
      <c r="V137" s="725"/>
      <c r="W137" s="725"/>
      <c r="X137" s="725"/>
      <c r="Y137" s="725"/>
      <c r="Z137" s="725"/>
      <c r="AA137" s="725"/>
      <c r="AB137" s="725"/>
      <c r="AC137" s="725"/>
      <c r="AD137" s="725"/>
      <c r="AE137" s="725"/>
      <c r="AF137" s="725"/>
      <c r="AG137" s="725"/>
      <c r="AH137" s="725"/>
      <c r="AI137" s="725"/>
      <c r="AJ137" s="725"/>
      <c r="AK137" s="725">
        <v>0</v>
      </c>
      <c r="AL137" s="725">
        <v>1</v>
      </c>
    </row>
    <row r="138" spans="2:38" s="231" customFormat="1" ht="14.1" customHeight="1">
      <c r="B138" s="716" t="s">
        <v>347</v>
      </c>
      <c r="C138" s="717">
        <v>350</v>
      </c>
      <c r="D138" s="718" t="s">
        <v>2344</v>
      </c>
      <c r="E138" s="719"/>
      <c r="F138" s="718"/>
      <c r="H138" s="720">
        <v>350</v>
      </c>
      <c r="I138" s="721" t="s">
        <v>2272</v>
      </c>
      <c r="J138" s="722">
        <v>0</v>
      </c>
      <c r="K138" s="722">
        <v>175</v>
      </c>
      <c r="L138" s="722">
        <v>350</v>
      </c>
      <c r="M138" s="723" t="s">
        <v>2257</v>
      </c>
      <c r="N138" s="717">
        <v>350</v>
      </c>
      <c r="O138" s="724">
        <v>45686</v>
      </c>
      <c r="P138" s="725"/>
      <c r="Q138" s="725"/>
      <c r="R138" s="725"/>
      <c r="S138" s="725"/>
      <c r="T138" s="725"/>
      <c r="U138" s="725"/>
      <c r="V138" s="725"/>
      <c r="W138" s="725"/>
      <c r="X138" s="725"/>
      <c r="Y138" s="725"/>
      <c r="Z138" s="725"/>
      <c r="AA138" s="725"/>
      <c r="AB138" s="725"/>
      <c r="AC138" s="725"/>
      <c r="AD138" s="725"/>
      <c r="AE138" s="725"/>
      <c r="AF138" s="725"/>
      <c r="AG138" s="725"/>
      <c r="AH138" s="725"/>
      <c r="AI138" s="725"/>
      <c r="AJ138" s="725"/>
      <c r="AK138" s="725">
        <v>0</v>
      </c>
      <c r="AL138" s="725">
        <v>350</v>
      </c>
    </row>
    <row r="139" spans="2:38" s="231" customFormat="1" ht="14.1" customHeight="1">
      <c r="B139" s="716" t="s">
        <v>346</v>
      </c>
      <c r="C139" s="717">
        <v>150</v>
      </c>
      <c r="D139" s="718" t="s">
        <v>2344</v>
      </c>
      <c r="E139" s="719"/>
      <c r="F139" s="718"/>
      <c r="H139" s="720">
        <v>150</v>
      </c>
      <c r="I139" s="721" t="s">
        <v>2272</v>
      </c>
      <c r="J139" s="722">
        <v>0</v>
      </c>
      <c r="K139" s="722">
        <v>75</v>
      </c>
      <c r="L139" s="722">
        <v>150</v>
      </c>
      <c r="M139" s="723" t="s">
        <v>2257</v>
      </c>
      <c r="N139" s="717">
        <v>150</v>
      </c>
      <c r="O139" s="724">
        <v>45686</v>
      </c>
      <c r="P139" s="725"/>
      <c r="Q139" s="725"/>
      <c r="R139" s="725"/>
      <c r="S139" s="725"/>
      <c r="T139" s="725"/>
      <c r="U139" s="725"/>
      <c r="V139" s="725"/>
      <c r="W139" s="725"/>
      <c r="X139" s="725"/>
      <c r="Y139" s="725"/>
      <c r="Z139" s="725"/>
      <c r="AA139" s="725"/>
      <c r="AB139" s="725"/>
      <c r="AC139" s="725"/>
      <c r="AD139" s="725"/>
      <c r="AE139" s="725"/>
      <c r="AF139" s="725"/>
      <c r="AG139" s="725"/>
      <c r="AH139" s="725"/>
      <c r="AI139" s="725"/>
      <c r="AJ139" s="725"/>
      <c r="AK139" s="725">
        <v>0</v>
      </c>
      <c r="AL139" s="725">
        <v>150</v>
      </c>
    </row>
    <row r="140" spans="2:38" s="231" customFormat="1" ht="14.1" customHeight="1">
      <c r="B140" s="716" t="s">
        <v>441</v>
      </c>
      <c r="C140" s="717">
        <v>0</v>
      </c>
      <c r="D140" s="718" t="s">
        <v>2344</v>
      </c>
      <c r="E140" s="719"/>
      <c r="F140" s="718"/>
      <c r="H140" s="720"/>
      <c r="I140" s="721"/>
      <c r="J140" s="722"/>
      <c r="K140" s="722"/>
      <c r="L140" s="722"/>
      <c r="M140" s="723"/>
      <c r="N140" s="717"/>
      <c r="O140" s="724"/>
      <c r="P140" s="725"/>
      <c r="Q140" s="725"/>
      <c r="R140" s="725"/>
      <c r="S140" s="725"/>
      <c r="T140" s="725"/>
      <c r="U140" s="725"/>
      <c r="V140" s="725"/>
      <c r="W140" s="725"/>
      <c r="X140" s="725"/>
      <c r="Y140" s="725"/>
      <c r="Z140" s="725"/>
      <c r="AA140" s="725"/>
      <c r="AB140" s="725"/>
      <c r="AC140" s="725"/>
      <c r="AD140" s="725"/>
      <c r="AE140" s="725"/>
      <c r="AF140" s="725"/>
      <c r="AG140" s="725"/>
      <c r="AH140" s="725"/>
      <c r="AI140" s="725"/>
      <c r="AJ140" s="725"/>
      <c r="AK140" s="725"/>
      <c r="AL140" s="725"/>
    </row>
    <row r="141" spans="2:38" s="231" customFormat="1" ht="14.1" customHeight="1">
      <c r="B141" s="716" t="s">
        <v>348</v>
      </c>
      <c r="C141" s="717">
        <v>5</v>
      </c>
      <c r="D141" s="718" t="s">
        <v>1357</v>
      </c>
      <c r="E141" s="719"/>
      <c r="F141" s="718"/>
      <c r="H141" s="720">
        <v>0</v>
      </c>
      <c r="I141" s="721">
        <v>0</v>
      </c>
      <c r="J141" s="722">
        <v>5</v>
      </c>
      <c r="K141" s="722">
        <v>5</v>
      </c>
      <c r="L141" s="722">
        <v>5</v>
      </c>
      <c r="M141" s="723" t="s">
        <v>2252</v>
      </c>
      <c r="N141" s="717">
        <v>5</v>
      </c>
      <c r="O141" s="724">
        <v>45877</v>
      </c>
      <c r="P141" s="725"/>
      <c r="Q141" s="725"/>
      <c r="R141" s="725"/>
      <c r="S141" s="725"/>
      <c r="T141" s="725"/>
      <c r="U141" s="725"/>
      <c r="V141" s="725"/>
      <c r="W141" s="725"/>
      <c r="X141" s="725"/>
      <c r="Y141" s="725"/>
      <c r="Z141" s="725"/>
      <c r="AA141" s="725"/>
      <c r="AB141" s="725"/>
      <c r="AC141" s="725"/>
      <c r="AD141" s="725"/>
      <c r="AE141" s="725"/>
      <c r="AF141" s="725"/>
      <c r="AG141" s="725">
        <v>5</v>
      </c>
      <c r="AH141" s="725"/>
      <c r="AI141" s="725"/>
      <c r="AJ141" s="725"/>
      <c r="AK141" s="725"/>
      <c r="AL141" s="725"/>
    </row>
    <row r="142" spans="2:38" s="231" customFormat="1" ht="14.1" customHeight="1">
      <c r="B142" s="716" t="s">
        <v>349</v>
      </c>
      <c r="C142" s="717">
        <v>15</v>
      </c>
      <c r="D142" s="718" t="s">
        <v>1357</v>
      </c>
      <c r="E142" s="719"/>
      <c r="F142" s="718"/>
      <c r="H142" s="720">
        <v>15</v>
      </c>
      <c r="I142" s="721" t="s">
        <v>2272</v>
      </c>
      <c r="J142" s="722">
        <v>0</v>
      </c>
      <c r="K142" s="722">
        <v>7.5</v>
      </c>
      <c r="L142" s="722">
        <v>15</v>
      </c>
      <c r="M142" s="723" t="s">
        <v>2257</v>
      </c>
      <c r="N142" s="717">
        <v>15</v>
      </c>
      <c r="O142" s="724">
        <v>45686</v>
      </c>
      <c r="P142" s="725"/>
      <c r="Q142" s="725"/>
      <c r="R142" s="725"/>
      <c r="S142" s="725"/>
      <c r="T142" s="725"/>
      <c r="U142" s="725"/>
      <c r="V142" s="725"/>
      <c r="W142" s="725"/>
      <c r="X142" s="725"/>
      <c r="Y142" s="725"/>
      <c r="Z142" s="725"/>
      <c r="AA142" s="725"/>
      <c r="AB142" s="725"/>
      <c r="AC142" s="725"/>
      <c r="AD142" s="725"/>
      <c r="AE142" s="725"/>
      <c r="AF142" s="725"/>
      <c r="AG142" s="725"/>
      <c r="AH142" s="725"/>
      <c r="AI142" s="725"/>
      <c r="AJ142" s="725"/>
      <c r="AK142" s="725">
        <v>0</v>
      </c>
      <c r="AL142" s="725">
        <v>15</v>
      </c>
    </row>
    <row r="143" spans="2:38" s="231" customFormat="1" ht="14.1" customHeight="1">
      <c r="B143" s="716" t="s">
        <v>661</v>
      </c>
      <c r="C143" s="717">
        <v>17.647058823529413</v>
      </c>
      <c r="D143" s="718" t="s">
        <v>2344</v>
      </c>
      <c r="E143" s="719"/>
      <c r="F143" s="718" t="s">
        <v>2408</v>
      </c>
      <c r="H143" s="720">
        <v>17.647058823529413</v>
      </c>
      <c r="I143" s="721" t="s">
        <v>2272</v>
      </c>
      <c r="J143" s="722">
        <v>0</v>
      </c>
      <c r="K143" s="722">
        <v>8.8235294117647065</v>
      </c>
      <c r="L143" s="722">
        <v>17.647058823529413</v>
      </c>
      <c r="M143" s="723" t="s">
        <v>2253</v>
      </c>
      <c r="N143" s="717">
        <v>17.647058823529413</v>
      </c>
      <c r="O143" s="724">
        <v>45873</v>
      </c>
      <c r="P143" s="725"/>
      <c r="Q143" s="725"/>
      <c r="R143" s="725"/>
      <c r="S143" s="725"/>
      <c r="T143" s="725"/>
      <c r="U143" s="725"/>
      <c r="V143" s="725"/>
      <c r="W143" s="725"/>
      <c r="X143" s="725"/>
      <c r="Y143" s="725"/>
      <c r="Z143" s="725"/>
      <c r="AA143" s="725"/>
      <c r="AB143" s="725"/>
      <c r="AC143" s="725"/>
      <c r="AD143" s="725"/>
      <c r="AE143" s="725"/>
      <c r="AF143" s="725"/>
      <c r="AG143" s="725"/>
      <c r="AH143" s="725">
        <v>17.647058823529413</v>
      </c>
      <c r="AI143" s="725"/>
      <c r="AJ143" s="725"/>
      <c r="AK143" s="725">
        <v>0</v>
      </c>
      <c r="AL143" s="725"/>
    </row>
    <row r="144" spans="2:38" s="231" customFormat="1" ht="14.1" customHeight="1">
      <c r="B144" s="716" t="s">
        <v>662</v>
      </c>
      <c r="C144" s="717">
        <v>920</v>
      </c>
      <c r="D144" s="718" t="s">
        <v>2344</v>
      </c>
      <c r="E144" s="719"/>
      <c r="F144" s="718" t="s">
        <v>2409</v>
      </c>
      <c r="H144" s="720">
        <v>920</v>
      </c>
      <c r="I144" s="721" t="s">
        <v>2272</v>
      </c>
      <c r="J144" s="722">
        <v>0</v>
      </c>
      <c r="K144" s="722">
        <v>460</v>
      </c>
      <c r="L144" s="722">
        <v>920</v>
      </c>
      <c r="M144" s="723" t="s">
        <v>2253</v>
      </c>
      <c r="N144" s="717">
        <v>920</v>
      </c>
      <c r="O144" s="724">
        <v>45873</v>
      </c>
      <c r="P144" s="725"/>
      <c r="Q144" s="725"/>
      <c r="R144" s="725"/>
      <c r="S144" s="725"/>
      <c r="T144" s="725"/>
      <c r="U144" s="725"/>
      <c r="V144" s="725"/>
      <c r="W144" s="725"/>
      <c r="X144" s="725"/>
      <c r="Y144" s="725"/>
      <c r="Z144" s="725"/>
      <c r="AA144" s="725"/>
      <c r="AB144" s="725"/>
      <c r="AC144" s="725"/>
      <c r="AD144" s="725"/>
      <c r="AE144" s="725"/>
      <c r="AF144" s="725"/>
      <c r="AG144" s="725"/>
      <c r="AH144" s="725">
        <v>920</v>
      </c>
      <c r="AI144" s="725"/>
      <c r="AJ144" s="725"/>
      <c r="AK144" s="725">
        <v>0</v>
      </c>
      <c r="AL144" s="725"/>
    </row>
    <row r="145" spans="2:38" s="231" customFormat="1" ht="14.1" customHeight="1">
      <c r="B145" s="716" t="s">
        <v>2410</v>
      </c>
      <c r="C145" s="717">
        <v>17.647058823529413</v>
      </c>
      <c r="D145" s="718" t="s">
        <v>2344</v>
      </c>
      <c r="E145" s="719"/>
      <c r="F145" s="718" t="s">
        <v>2409</v>
      </c>
      <c r="H145" s="720">
        <v>17.647058823529413</v>
      </c>
      <c r="I145" s="721" t="s">
        <v>2272</v>
      </c>
      <c r="J145" s="722">
        <v>0</v>
      </c>
      <c r="K145" s="722">
        <v>9.2156862745098049</v>
      </c>
      <c r="L145" s="722">
        <v>17.647058823529413</v>
      </c>
      <c r="M145" s="723" t="s">
        <v>2253</v>
      </c>
      <c r="N145" s="717">
        <v>17.647058823529413</v>
      </c>
      <c r="O145" s="724">
        <v>45873</v>
      </c>
      <c r="P145" s="725"/>
      <c r="Q145" s="725"/>
      <c r="R145" s="725"/>
      <c r="S145" s="725"/>
      <c r="T145" s="725"/>
      <c r="U145" s="725"/>
      <c r="V145" s="725"/>
      <c r="W145" s="725"/>
      <c r="X145" s="725"/>
      <c r="Y145" s="725"/>
      <c r="Z145" s="725"/>
      <c r="AA145" s="725"/>
      <c r="AB145" s="725"/>
      <c r="AC145" s="725"/>
      <c r="AD145" s="725"/>
      <c r="AE145" s="725"/>
      <c r="AF145" s="725"/>
      <c r="AG145" s="725"/>
      <c r="AH145" s="725">
        <v>17.647058823529413</v>
      </c>
      <c r="AI145" s="725"/>
      <c r="AJ145" s="725"/>
      <c r="AK145" s="725">
        <v>0</v>
      </c>
      <c r="AL145" s="725">
        <v>10</v>
      </c>
    </row>
    <row r="146" spans="2:38" s="231" customFormat="1" ht="14.1" customHeight="1">
      <c r="B146" s="716" t="s">
        <v>2411</v>
      </c>
      <c r="C146" s="717">
        <v>920</v>
      </c>
      <c r="D146" s="718" t="s">
        <v>2344</v>
      </c>
      <c r="E146" s="719"/>
      <c r="F146" s="718" t="s">
        <v>2409</v>
      </c>
      <c r="H146" s="720">
        <v>920</v>
      </c>
      <c r="I146" s="721" t="s">
        <v>2272</v>
      </c>
      <c r="J146" s="722">
        <v>0</v>
      </c>
      <c r="K146" s="722">
        <v>313.33333333333331</v>
      </c>
      <c r="L146" s="722">
        <v>920</v>
      </c>
      <c r="M146" s="723" t="s">
        <v>2253</v>
      </c>
      <c r="N146" s="717">
        <v>920</v>
      </c>
      <c r="O146" s="724">
        <v>45873</v>
      </c>
      <c r="P146" s="725"/>
      <c r="Q146" s="725"/>
      <c r="R146" s="725"/>
      <c r="S146" s="725"/>
      <c r="T146" s="725"/>
      <c r="U146" s="725"/>
      <c r="V146" s="725"/>
      <c r="W146" s="725"/>
      <c r="X146" s="725"/>
      <c r="Y146" s="725"/>
      <c r="Z146" s="725"/>
      <c r="AA146" s="725"/>
      <c r="AB146" s="725"/>
      <c r="AC146" s="725"/>
      <c r="AD146" s="725"/>
      <c r="AE146" s="725"/>
      <c r="AF146" s="725"/>
      <c r="AG146" s="725"/>
      <c r="AH146" s="725">
        <v>920</v>
      </c>
      <c r="AI146" s="725"/>
      <c r="AJ146" s="725"/>
      <c r="AK146" s="725">
        <v>0</v>
      </c>
      <c r="AL146" s="725">
        <v>20</v>
      </c>
    </row>
    <row r="147" spans="2:38" s="231" customFormat="1" ht="14.1" customHeight="1">
      <c r="B147" s="716" t="s">
        <v>2412</v>
      </c>
      <c r="C147" s="717">
        <v>17.647058823529413</v>
      </c>
      <c r="D147" s="718" t="s">
        <v>2344</v>
      </c>
      <c r="E147" s="719"/>
      <c r="F147" s="718" t="s">
        <v>2409</v>
      </c>
      <c r="H147" s="720">
        <v>0</v>
      </c>
      <c r="I147" s="721">
        <v>0</v>
      </c>
      <c r="J147" s="722">
        <v>17.647058823529413</v>
      </c>
      <c r="K147" s="722">
        <v>17.647058823529413</v>
      </c>
      <c r="L147" s="722">
        <v>17.647058823529413</v>
      </c>
      <c r="M147" s="723" t="s">
        <v>2253</v>
      </c>
      <c r="N147" s="717">
        <v>17.647058823529413</v>
      </c>
      <c r="O147" s="724">
        <v>45873</v>
      </c>
      <c r="P147" s="725"/>
      <c r="Q147" s="725"/>
      <c r="R147" s="725"/>
      <c r="S147" s="725"/>
      <c r="T147" s="725"/>
      <c r="U147" s="725"/>
      <c r="V147" s="725"/>
      <c r="W147" s="725"/>
      <c r="X147" s="725"/>
      <c r="Y147" s="725"/>
      <c r="Z147" s="725"/>
      <c r="AA147" s="725"/>
      <c r="AB147" s="725"/>
      <c r="AC147" s="725"/>
      <c r="AD147" s="725"/>
      <c r="AE147" s="725"/>
      <c r="AF147" s="725"/>
      <c r="AG147" s="725"/>
      <c r="AH147" s="725">
        <v>17.647058823529413</v>
      </c>
      <c r="AI147" s="725"/>
      <c r="AJ147" s="725"/>
      <c r="AK147" s="725"/>
      <c r="AL147" s="725"/>
    </row>
    <row r="148" spans="2:38" s="231" customFormat="1" ht="14.1" customHeight="1">
      <c r="B148" s="716" t="s">
        <v>2413</v>
      </c>
      <c r="C148" s="717">
        <v>920</v>
      </c>
      <c r="D148" s="718" t="s">
        <v>2344</v>
      </c>
      <c r="E148" s="719"/>
      <c r="F148" s="718" t="s">
        <v>2409</v>
      </c>
      <c r="H148" s="720">
        <v>0</v>
      </c>
      <c r="I148" s="721">
        <v>0</v>
      </c>
      <c r="J148" s="722">
        <v>920</v>
      </c>
      <c r="K148" s="722">
        <v>920</v>
      </c>
      <c r="L148" s="722">
        <v>920</v>
      </c>
      <c r="M148" s="723" t="s">
        <v>2253</v>
      </c>
      <c r="N148" s="717">
        <v>920</v>
      </c>
      <c r="O148" s="724">
        <v>45873</v>
      </c>
      <c r="P148" s="725"/>
      <c r="Q148" s="725"/>
      <c r="R148" s="725"/>
      <c r="S148" s="725"/>
      <c r="T148" s="725"/>
      <c r="U148" s="725"/>
      <c r="V148" s="725"/>
      <c r="W148" s="725"/>
      <c r="X148" s="725"/>
      <c r="Y148" s="725"/>
      <c r="Z148" s="725"/>
      <c r="AA148" s="725"/>
      <c r="AB148" s="725"/>
      <c r="AC148" s="725"/>
      <c r="AD148" s="725"/>
      <c r="AE148" s="725"/>
      <c r="AF148" s="725"/>
      <c r="AG148" s="725"/>
      <c r="AH148" s="725">
        <v>920</v>
      </c>
      <c r="AI148" s="725"/>
      <c r="AJ148" s="725"/>
      <c r="AK148" s="725"/>
      <c r="AL148" s="725"/>
    </row>
    <row r="149" spans="2:38" s="231" customFormat="1" ht="14.1" customHeight="1">
      <c r="B149" s="716" t="s">
        <v>350</v>
      </c>
      <c r="C149" s="717">
        <v>17.647058823529413</v>
      </c>
      <c r="D149" s="718" t="s">
        <v>2344</v>
      </c>
      <c r="E149" s="719"/>
      <c r="F149" s="718" t="s">
        <v>2409</v>
      </c>
      <c r="H149" s="720">
        <v>0</v>
      </c>
      <c r="I149" s="721">
        <v>0</v>
      </c>
      <c r="J149" s="722">
        <v>17.647058823529413</v>
      </c>
      <c r="K149" s="722">
        <v>17.647058823529413</v>
      </c>
      <c r="L149" s="722">
        <v>17.647058823529413</v>
      </c>
      <c r="M149" s="723" t="s">
        <v>2253</v>
      </c>
      <c r="N149" s="717">
        <v>17.647058823529413</v>
      </c>
      <c r="O149" s="724">
        <v>45873</v>
      </c>
      <c r="P149" s="725"/>
      <c r="Q149" s="725"/>
      <c r="R149" s="725"/>
      <c r="S149" s="725"/>
      <c r="T149" s="725"/>
      <c r="U149" s="725"/>
      <c r="V149" s="725"/>
      <c r="W149" s="725"/>
      <c r="X149" s="725"/>
      <c r="Y149" s="725"/>
      <c r="Z149" s="725"/>
      <c r="AA149" s="725"/>
      <c r="AB149" s="725"/>
      <c r="AC149" s="725"/>
      <c r="AD149" s="725"/>
      <c r="AE149" s="725"/>
      <c r="AF149" s="725"/>
      <c r="AG149" s="725"/>
      <c r="AH149" s="725">
        <v>17.647058823529413</v>
      </c>
      <c r="AI149" s="725"/>
      <c r="AJ149" s="725"/>
      <c r="AK149" s="725"/>
      <c r="AL149" s="725"/>
    </row>
    <row r="150" spans="2:38" s="231" customFormat="1" ht="14.1" customHeight="1">
      <c r="B150" s="716" t="s">
        <v>351</v>
      </c>
      <c r="C150" s="717">
        <v>920</v>
      </c>
      <c r="D150" s="718" t="s">
        <v>2344</v>
      </c>
      <c r="E150" s="719"/>
      <c r="F150" s="718" t="s">
        <v>2409</v>
      </c>
      <c r="H150" s="720">
        <v>920</v>
      </c>
      <c r="I150" s="721" t="s">
        <v>2272</v>
      </c>
      <c r="J150" s="722">
        <v>0</v>
      </c>
      <c r="K150" s="722">
        <v>320</v>
      </c>
      <c r="L150" s="722">
        <v>920</v>
      </c>
      <c r="M150" s="723" t="s">
        <v>2253</v>
      </c>
      <c r="N150" s="717">
        <v>920</v>
      </c>
      <c r="O150" s="724">
        <v>45686</v>
      </c>
      <c r="P150" s="725"/>
      <c r="Q150" s="725"/>
      <c r="R150" s="725"/>
      <c r="S150" s="725"/>
      <c r="T150" s="725"/>
      <c r="U150" s="725"/>
      <c r="V150" s="725"/>
      <c r="W150" s="725"/>
      <c r="X150" s="725"/>
      <c r="Y150" s="725"/>
      <c r="Z150" s="725"/>
      <c r="AA150" s="725"/>
      <c r="AB150" s="725"/>
      <c r="AC150" s="725"/>
      <c r="AD150" s="725"/>
      <c r="AE150" s="725"/>
      <c r="AF150" s="725"/>
      <c r="AG150" s="725"/>
      <c r="AH150" s="725">
        <v>920</v>
      </c>
      <c r="AI150" s="725"/>
      <c r="AJ150" s="725"/>
      <c r="AK150" s="725">
        <v>0</v>
      </c>
      <c r="AL150" s="725">
        <v>40</v>
      </c>
    </row>
    <row r="151" spans="2:38" s="231" customFormat="1" ht="15" customHeight="1">
      <c r="B151" s="715" t="s">
        <v>2414</v>
      </c>
      <c r="C151" s="679"/>
      <c r="D151" s="679"/>
      <c r="E151" s="679"/>
      <c r="F151" s="679"/>
    </row>
    <row r="152" spans="2:38" s="231" customFormat="1" ht="15" customHeight="1">
      <c r="B152" s="716" t="s">
        <v>2415</v>
      </c>
      <c r="C152" s="717">
        <v>1164</v>
      </c>
      <c r="D152" s="718" t="s">
        <v>2260</v>
      </c>
      <c r="E152" s="719" t="s">
        <v>2261</v>
      </c>
      <c r="F152" s="718" t="s">
        <v>2262</v>
      </c>
      <c r="H152" s="720">
        <v>1149.7816158882101</v>
      </c>
      <c r="I152" s="721">
        <v>0.98778489337475095</v>
      </c>
      <c r="J152" s="722">
        <v>1164</v>
      </c>
      <c r="K152" s="722">
        <v>1844.515537770106</v>
      </c>
      <c r="L152" s="722">
        <v>2313.7816158882101</v>
      </c>
      <c r="M152" s="723" t="s">
        <v>2235</v>
      </c>
      <c r="N152" s="717">
        <v>1164</v>
      </c>
      <c r="O152" s="724">
        <v>45686</v>
      </c>
      <c r="P152" s="725">
        <v>1164</v>
      </c>
      <c r="Q152" s="725"/>
      <c r="R152" s="725"/>
      <c r="S152" s="725"/>
      <c r="T152" s="725"/>
      <c r="U152" s="725"/>
      <c r="V152" s="725"/>
      <c r="W152" s="725"/>
      <c r="X152" s="725"/>
      <c r="Y152" s="725"/>
      <c r="Z152" s="725"/>
      <c r="AA152" s="725"/>
      <c r="AB152" s="725"/>
      <c r="AC152" s="725"/>
      <c r="AD152" s="725"/>
      <c r="AE152" s="725"/>
      <c r="AF152" s="725"/>
      <c r="AG152" s="725"/>
      <c r="AH152" s="725"/>
      <c r="AI152" s="725"/>
      <c r="AJ152" s="725">
        <v>2055.7649974221085</v>
      </c>
      <c r="AK152" s="725">
        <v>2313.7816158882101</v>
      </c>
      <c r="AL152" s="725"/>
    </row>
    <row r="153" spans="2:38" s="231" customFormat="1" ht="15" customHeight="1">
      <c r="B153" s="726" t="s">
        <v>2416</v>
      </c>
      <c r="C153" s="717">
        <v>1314</v>
      </c>
      <c r="D153" s="718" t="s">
        <v>2260</v>
      </c>
      <c r="E153" s="718" t="s">
        <v>2261</v>
      </c>
      <c r="F153" s="718" t="s">
        <v>2262</v>
      </c>
      <c r="H153" s="720">
        <v>1108.5906520930312</v>
      </c>
      <c r="I153" s="721">
        <v>0.84367629535238298</v>
      </c>
      <c r="J153" s="722">
        <v>1314</v>
      </c>
      <c r="K153" s="722">
        <v>1963.0103562931042</v>
      </c>
      <c r="L153" s="722">
        <v>2422.5906520930312</v>
      </c>
      <c r="M153" s="723" t="s">
        <v>2235</v>
      </c>
      <c r="N153" s="717">
        <v>1314</v>
      </c>
      <c r="O153" s="724">
        <v>45686</v>
      </c>
      <c r="P153" s="725">
        <v>1314</v>
      </c>
      <c r="Q153" s="725"/>
      <c r="R153" s="725"/>
      <c r="S153" s="725"/>
      <c r="T153" s="725"/>
      <c r="U153" s="725"/>
      <c r="V153" s="725"/>
      <c r="W153" s="725"/>
      <c r="X153" s="725"/>
      <c r="Y153" s="725"/>
      <c r="Z153" s="725"/>
      <c r="AA153" s="725"/>
      <c r="AB153" s="725"/>
      <c r="AC153" s="725"/>
      <c r="AD153" s="725"/>
      <c r="AE153" s="725"/>
      <c r="AF153" s="725"/>
      <c r="AG153" s="725"/>
      <c r="AH153" s="725"/>
      <c r="AI153" s="725"/>
      <c r="AJ153" s="725">
        <v>2152.4404167862813</v>
      </c>
      <c r="AK153" s="725">
        <v>2422.5906520930312</v>
      </c>
      <c r="AL153" s="725"/>
    </row>
    <row r="154" spans="2:38" s="231" customFormat="1" ht="15" customHeight="1">
      <c r="B154" s="715" t="s">
        <v>2417</v>
      </c>
      <c r="C154" s="679"/>
      <c r="D154" s="679"/>
      <c r="E154" s="679"/>
      <c r="F154" s="679"/>
    </row>
    <row r="155" spans="2:38" s="231" customFormat="1" ht="15" customHeight="1">
      <c r="B155" s="716" t="s">
        <v>2418</v>
      </c>
      <c r="C155" s="717">
        <v>318</v>
      </c>
      <c r="D155" s="718" t="s">
        <v>2260</v>
      </c>
      <c r="E155" s="719" t="s">
        <v>2261</v>
      </c>
      <c r="F155" s="718" t="s">
        <v>2262</v>
      </c>
      <c r="H155" s="720">
        <v>120.12998055934929</v>
      </c>
      <c r="I155" s="721">
        <v>0.60711562519142104</v>
      </c>
      <c r="J155" s="722">
        <v>197.87001944065071</v>
      </c>
      <c r="K155" s="722">
        <v>246.19148985199146</v>
      </c>
      <c r="L155" s="722">
        <v>318</v>
      </c>
      <c r="M155" s="723" t="s">
        <v>2235</v>
      </c>
      <c r="N155" s="717">
        <v>318</v>
      </c>
      <c r="O155" s="724">
        <v>45686</v>
      </c>
      <c r="P155" s="725">
        <v>318</v>
      </c>
      <c r="Q155" s="725"/>
      <c r="R155" s="725"/>
      <c r="S155" s="725"/>
      <c r="T155" s="725"/>
      <c r="U155" s="725"/>
      <c r="V155" s="725"/>
      <c r="W155" s="725"/>
      <c r="X155" s="725"/>
      <c r="Y155" s="725"/>
      <c r="Z155" s="725"/>
      <c r="AA155" s="725"/>
      <c r="AB155" s="725"/>
      <c r="AC155" s="725"/>
      <c r="AD155" s="725"/>
      <c r="AE155" s="725"/>
      <c r="AF155" s="725"/>
      <c r="AG155" s="725"/>
      <c r="AH155" s="725"/>
      <c r="AI155" s="725"/>
      <c r="AJ155" s="725">
        <v>197.87001944065071</v>
      </c>
      <c r="AK155" s="725">
        <v>222.70445011532362</v>
      </c>
      <c r="AL155" s="725"/>
    </row>
    <row r="156" spans="2:38" s="231" customFormat="1" ht="15" customHeight="1">
      <c r="B156" s="716" t="s">
        <v>2419</v>
      </c>
      <c r="C156" s="717">
        <v>330</v>
      </c>
      <c r="D156" s="718" t="s">
        <v>2260</v>
      </c>
      <c r="E156" s="719" t="s">
        <v>2261</v>
      </c>
      <c r="F156" s="718" t="s">
        <v>2262</v>
      </c>
      <c r="H156" s="720">
        <v>118.64659082169754</v>
      </c>
      <c r="I156" s="721">
        <v>0.56136587189660436</v>
      </c>
      <c r="J156" s="722">
        <v>211.35340917830246</v>
      </c>
      <c r="K156" s="722">
        <v>259.74451107733893</v>
      </c>
      <c r="L156" s="722">
        <v>330</v>
      </c>
      <c r="M156" s="723" t="s">
        <v>2235</v>
      </c>
      <c r="N156" s="717">
        <v>330</v>
      </c>
      <c r="O156" s="724">
        <v>45686</v>
      </c>
      <c r="P156" s="725">
        <v>330</v>
      </c>
      <c r="Q156" s="725"/>
      <c r="R156" s="725"/>
      <c r="S156" s="725"/>
      <c r="T156" s="725"/>
      <c r="U156" s="725"/>
      <c r="V156" s="725"/>
      <c r="W156" s="725"/>
      <c r="X156" s="725"/>
      <c r="Y156" s="725"/>
      <c r="Z156" s="725"/>
      <c r="AA156" s="725"/>
      <c r="AB156" s="725"/>
      <c r="AC156" s="725"/>
      <c r="AD156" s="725"/>
      <c r="AE156" s="725"/>
      <c r="AF156" s="725"/>
      <c r="AG156" s="725"/>
      <c r="AH156" s="725"/>
      <c r="AI156" s="725"/>
      <c r="AJ156" s="725">
        <v>211.35340917830246</v>
      </c>
      <c r="AK156" s="725">
        <v>237.88012405371427</v>
      </c>
      <c r="AL156" s="725"/>
    </row>
    <row r="157" spans="2:38" s="231" customFormat="1" ht="15" customHeight="1">
      <c r="B157" s="716" t="s">
        <v>2420</v>
      </c>
      <c r="C157" s="717">
        <v>333</v>
      </c>
      <c r="D157" s="718" t="s">
        <v>2260</v>
      </c>
      <c r="E157" s="719" t="s">
        <v>2261</v>
      </c>
      <c r="F157" s="718" t="s">
        <v>2262</v>
      </c>
      <c r="H157" s="720">
        <v>100.38953004858627</v>
      </c>
      <c r="I157" s="721">
        <v>0.43157786521627778</v>
      </c>
      <c r="J157" s="722">
        <v>232.61046995141373</v>
      </c>
      <c r="K157" s="722">
        <v>275.80520105999005</v>
      </c>
      <c r="L157" s="722">
        <v>333</v>
      </c>
      <c r="M157" s="723" t="s">
        <v>2235</v>
      </c>
      <c r="N157" s="717">
        <v>333</v>
      </c>
      <c r="O157" s="724">
        <v>45686</v>
      </c>
      <c r="P157" s="725">
        <v>333</v>
      </c>
      <c r="Q157" s="725"/>
      <c r="R157" s="725"/>
      <c r="S157" s="725"/>
      <c r="T157" s="725"/>
      <c r="U157" s="725"/>
      <c r="V157" s="725"/>
      <c r="W157" s="725"/>
      <c r="X157" s="725"/>
      <c r="Y157" s="725"/>
      <c r="Z157" s="725"/>
      <c r="AA157" s="725"/>
      <c r="AB157" s="725"/>
      <c r="AC157" s="725"/>
      <c r="AD157" s="725"/>
      <c r="AE157" s="725"/>
      <c r="AF157" s="725"/>
      <c r="AG157" s="725"/>
      <c r="AH157" s="725"/>
      <c r="AI157" s="725"/>
      <c r="AJ157" s="725">
        <v>232.61046995141373</v>
      </c>
      <c r="AK157" s="725">
        <v>261.80513322855643</v>
      </c>
      <c r="AL157" s="725"/>
    </row>
    <row r="158" spans="2:38" s="231" customFormat="1" ht="15" customHeight="1">
      <c r="B158" s="716" t="s">
        <v>2421</v>
      </c>
      <c r="C158" s="717">
        <v>339</v>
      </c>
      <c r="D158" s="718" t="s">
        <v>2260</v>
      </c>
      <c r="E158" s="719" t="s">
        <v>2261</v>
      </c>
      <c r="F158" s="718" t="s">
        <v>2262</v>
      </c>
      <c r="H158" s="720">
        <v>93.689487684901053</v>
      </c>
      <c r="I158" s="721">
        <v>0.38192202527610325</v>
      </c>
      <c r="J158" s="722">
        <v>245.31051231509895</v>
      </c>
      <c r="K158" s="722">
        <v>286.80321837045216</v>
      </c>
      <c r="L158" s="722">
        <v>339</v>
      </c>
      <c r="M158" s="723" t="s">
        <v>2235</v>
      </c>
      <c r="N158" s="717">
        <v>339</v>
      </c>
      <c r="O158" s="724">
        <v>45686</v>
      </c>
      <c r="P158" s="725">
        <v>339</v>
      </c>
      <c r="Q158" s="725"/>
      <c r="R158" s="725"/>
      <c r="S158" s="725"/>
      <c r="T158" s="725"/>
      <c r="U158" s="725"/>
      <c r="V158" s="725"/>
      <c r="W158" s="725"/>
      <c r="X158" s="725"/>
      <c r="Y158" s="725"/>
      <c r="Z158" s="725"/>
      <c r="AA158" s="725"/>
      <c r="AB158" s="725"/>
      <c r="AC158" s="725"/>
      <c r="AD158" s="725"/>
      <c r="AE158" s="725"/>
      <c r="AF158" s="725"/>
      <c r="AG158" s="725"/>
      <c r="AH158" s="725"/>
      <c r="AI158" s="725"/>
      <c r="AJ158" s="725">
        <v>245.31051231509895</v>
      </c>
      <c r="AK158" s="725">
        <v>276.09914279625735</v>
      </c>
      <c r="AL158" s="725"/>
    </row>
    <row r="159" spans="2:38" s="231" customFormat="1" ht="15" customHeight="1">
      <c r="B159" s="716" t="s">
        <v>2422</v>
      </c>
      <c r="C159" s="717">
        <v>354</v>
      </c>
      <c r="D159" s="718" t="s">
        <v>2260</v>
      </c>
      <c r="E159" s="719" t="s">
        <v>2261</v>
      </c>
      <c r="F159" s="718" t="s">
        <v>2262</v>
      </c>
      <c r="H159" s="720">
        <v>105.2124712482493</v>
      </c>
      <c r="I159" s="721">
        <v>0.42290090574931571</v>
      </c>
      <c r="J159" s="722">
        <v>248.7875287517507</v>
      </c>
      <c r="K159" s="722">
        <v>294.26669472665816</v>
      </c>
      <c r="L159" s="722">
        <v>354</v>
      </c>
      <c r="M159" s="723" t="s">
        <v>2235</v>
      </c>
      <c r="N159" s="717">
        <v>354</v>
      </c>
      <c r="O159" s="724">
        <v>45686</v>
      </c>
      <c r="P159" s="725">
        <v>354</v>
      </c>
      <c r="Q159" s="725"/>
      <c r="R159" s="725"/>
      <c r="S159" s="725"/>
      <c r="T159" s="725"/>
      <c r="U159" s="725"/>
      <c r="V159" s="725"/>
      <c r="W159" s="725"/>
      <c r="X159" s="725"/>
      <c r="Y159" s="725"/>
      <c r="Z159" s="725"/>
      <c r="AA159" s="725"/>
      <c r="AB159" s="725"/>
      <c r="AC159" s="725"/>
      <c r="AD159" s="725"/>
      <c r="AE159" s="725"/>
      <c r="AF159" s="725"/>
      <c r="AG159" s="725"/>
      <c r="AH159" s="725"/>
      <c r="AI159" s="725"/>
      <c r="AJ159" s="725">
        <v>248.7875287517507</v>
      </c>
      <c r="AK159" s="725">
        <v>280.01255542822372</v>
      </c>
      <c r="AL159" s="725"/>
    </row>
    <row r="160" spans="2:38" s="231" customFormat="1" ht="15" customHeight="1">
      <c r="B160" s="716" t="s">
        <v>2423</v>
      </c>
      <c r="C160" s="717">
        <v>378</v>
      </c>
      <c r="D160" s="718" t="s">
        <v>2260</v>
      </c>
      <c r="E160" s="719" t="s">
        <v>2261</v>
      </c>
      <c r="F160" s="718" t="s">
        <v>2262</v>
      </c>
      <c r="H160" s="720">
        <v>111.35996424766171</v>
      </c>
      <c r="I160" s="721">
        <v>0.41764157409240499</v>
      </c>
      <c r="J160" s="722">
        <v>266.64003575233829</v>
      </c>
      <c r="K160" s="722">
        <v>314.91524836343666</v>
      </c>
      <c r="L160" s="722">
        <v>378</v>
      </c>
      <c r="M160" s="723" t="s">
        <v>2235</v>
      </c>
      <c r="N160" s="717">
        <v>378</v>
      </c>
      <c r="O160" s="724">
        <v>45686</v>
      </c>
      <c r="P160" s="725">
        <v>378</v>
      </c>
      <c r="Q160" s="725"/>
      <c r="R160" s="725"/>
      <c r="S160" s="725"/>
      <c r="T160" s="725"/>
      <c r="U160" s="725"/>
      <c r="V160" s="725"/>
      <c r="W160" s="725"/>
      <c r="X160" s="725"/>
      <c r="Y160" s="725"/>
      <c r="Z160" s="725"/>
      <c r="AA160" s="725"/>
      <c r="AB160" s="725"/>
      <c r="AC160" s="725"/>
      <c r="AD160" s="725"/>
      <c r="AE160" s="725"/>
      <c r="AF160" s="725"/>
      <c r="AG160" s="725"/>
      <c r="AH160" s="725"/>
      <c r="AI160" s="725"/>
      <c r="AJ160" s="725">
        <v>266.64003575233829</v>
      </c>
      <c r="AK160" s="725">
        <v>300.10570933797169</v>
      </c>
      <c r="AL160" s="725"/>
    </row>
    <row r="161" spans="2:38" s="231" customFormat="1" ht="15" customHeight="1">
      <c r="B161" s="716" t="s">
        <v>2424</v>
      </c>
      <c r="C161" s="717">
        <v>384</v>
      </c>
      <c r="D161" s="718" t="s">
        <v>2260</v>
      </c>
      <c r="E161" s="719" t="s">
        <v>2261</v>
      </c>
      <c r="F161" s="718" t="s">
        <v>2262</v>
      </c>
      <c r="H161" s="720">
        <v>44.447285227179918</v>
      </c>
      <c r="I161" s="721">
        <v>0.12550880999999997</v>
      </c>
      <c r="J161" s="722">
        <v>354.13677515689875</v>
      </c>
      <c r="K161" s="722">
        <v>378.90694518032575</v>
      </c>
      <c r="L161" s="722">
        <v>398.58406038407867</v>
      </c>
      <c r="M161" s="723" t="s">
        <v>2235</v>
      </c>
      <c r="N161" s="717">
        <v>384</v>
      </c>
      <c r="O161" s="724">
        <v>45686</v>
      </c>
      <c r="P161" s="725">
        <v>384</v>
      </c>
      <c r="Q161" s="725"/>
      <c r="R161" s="725"/>
      <c r="S161" s="725"/>
      <c r="T161" s="725"/>
      <c r="U161" s="725"/>
      <c r="V161" s="725"/>
      <c r="W161" s="725"/>
      <c r="X161" s="725"/>
      <c r="Y161" s="725"/>
      <c r="Z161" s="725"/>
      <c r="AA161" s="725"/>
      <c r="AB161" s="725"/>
      <c r="AC161" s="725"/>
      <c r="AD161" s="725"/>
      <c r="AE161" s="725"/>
      <c r="AF161" s="725"/>
      <c r="AG161" s="725"/>
      <c r="AH161" s="725"/>
      <c r="AI161" s="725"/>
      <c r="AJ161" s="725">
        <v>354.13677515689875</v>
      </c>
      <c r="AK161" s="725">
        <v>398.58406038407867</v>
      </c>
      <c r="AL161" s="725"/>
    </row>
    <row r="162" spans="2:38" s="231" customFormat="1" ht="15" customHeight="1">
      <c r="B162" s="716" t="s">
        <v>2425</v>
      </c>
      <c r="C162" s="717">
        <v>402</v>
      </c>
      <c r="D162" s="718" t="s">
        <v>2260</v>
      </c>
      <c r="E162" s="719" t="s">
        <v>2261</v>
      </c>
      <c r="F162" s="718" t="s">
        <v>2262</v>
      </c>
      <c r="H162" s="720">
        <v>168.79879237840214</v>
      </c>
      <c r="I162" s="721">
        <v>0.41989749347861227</v>
      </c>
      <c r="J162" s="722">
        <v>402</v>
      </c>
      <c r="K162" s="722">
        <v>493.31537545750962</v>
      </c>
      <c r="L162" s="722">
        <v>570.79879237840214</v>
      </c>
      <c r="M162" s="723" t="s">
        <v>2235</v>
      </c>
      <c r="N162" s="717">
        <v>402</v>
      </c>
      <c r="O162" s="724">
        <v>45686</v>
      </c>
      <c r="P162" s="725">
        <v>402</v>
      </c>
      <c r="Q162" s="725"/>
      <c r="R162" s="725"/>
      <c r="S162" s="725"/>
      <c r="T162" s="725"/>
      <c r="U162" s="725"/>
      <c r="V162" s="725"/>
      <c r="W162" s="725"/>
      <c r="X162" s="725"/>
      <c r="Y162" s="725"/>
      <c r="Z162" s="725"/>
      <c r="AA162" s="725"/>
      <c r="AB162" s="725"/>
      <c r="AC162" s="725"/>
      <c r="AD162" s="725"/>
      <c r="AE162" s="725"/>
      <c r="AF162" s="725"/>
      <c r="AG162" s="725"/>
      <c r="AH162" s="725"/>
      <c r="AI162" s="725"/>
      <c r="AJ162" s="725">
        <v>507.14733399412683</v>
      </c>
      <c r="AK162" s="725">
        <v>570.79879237840214</v>
      </c>
      <c r="AL162" s="725"/>
    </row>
    <row r="163" spans="2:38" s="231" customFormat="1" ht="15" customHeight="1">
      <c r="B163" s="716" t="s">
        <v>2426</v>
      </c>
      <c r="C163" s="717">
        <v>420</v>
      </c>
      <c r="D163" s="718" t="s">
        <v>2260</v>
      </c>
      <c r="E163" s="719" t="s">
        <v>2261</v>
      </c>
      <c r="F163" s="718" t="s">
        <v>2262</v>
      </c>
      <c r="H163" s="720">
        <v>243.70137330634316</v>
      </c>
      <c r="I163" s="721">
        <v>0.58024136501510271</v>
      </c>
      <c r="J163" s="722">
        <v>420</v>
      </c>
      <c r="K163" s="722">
        <v>557.79714905762819</v>
      </c>
      <c r="L163" s="722">
        <v>663.70137330634316</v>
      </c>
      <c r="M163" s="723" t="s">
        <v>2235</v>
      </c>
      <c r="N163" s="717">
        <v>420</v>
      </c>
      <c r="O163" s="724">
        <v>45686</v>
      </c>
      <c r="P163" s="725">
        <v>420</v>
      </c>
      <c r="Q163" s="725"/>
      <c r="R163" s="725"/>
      <c r="S163" s="725"/>
      <c r="T163" s="725"/>
      <c r="U163" s="725"/>
      <c r="V163" s="725"/>
      <c r="W163" s="725"/>
      <c r="X163" s="725"/>
      <c r="Y163" s="725"/>
      <c r="Z163" s="725"/>
      <c r="AA163" s="725"/>
      <c r="AB163" s="725"/>
      <c r="AC163" s="725"/>
      <c r="AD163" s="725"/>
      <c r="AE163" s="725"/>
      <c r="AF163" s="725"/>
      <c r="AG163" s="725"/>
      <c r="AH163" s="725"/>
      <c r="AI163" s="725"/>
      <c r="AJ163" s="725">
        <v>589.69007386654152</v>
      </c>
      <c r="AK163" s="725">
        <v>663.70137330634316</v>
      </c>
      <c r="AL163" s="725"/>
    </row>
    <row r="164" spans="2:38" s="231" customFormat="1" ht="15" customHeight="1">
      <c r="B164" s="716" t="s">
        <v>2427</v>
      </c>
      <c r="C164" s="717">
        <v>474</v>
      </c>
      <c r="D164" s="718" t="s">
        <v>2260</v>
      </c>
      <c r="E164" s="719" t="s">
        <v>2261</v>
      </c>
      <c r="F164" s="718" t="s">
        <v>2262</v>
      </c>
      <c r="H164" s="720">
        <v>360.94627064012025</v>
      </c>
      <c r="I164" s="721">
        <v>0.76149002244751107</v>
      </c>
      <c r="J164" s="722">
        <v>474</v>
      </c>
      <c r="K164" s="722">
        <v>683.59507260312478</v>
      </c>
      <c r="L164" s="722">
        <v>834.94627064012025</v>
      </c>
      <c r="M164" s="723" t="s">
        <v>2235</v>
      </c>
      <c r="N164" s="717">
        <v>474</v>
      </c>
      <c r="O164" s="724">
        <v>45686</v>
      </c>
      <c r="P164" s="725">
        <v>474</v>
      </c>
      <c r="Q164" s="725"/>
      <c r="R164" s="725"/>
      <c r="S164" s="725"/>
      <c r="T164" s="725"/>
      <c r="U164" s="725"/>
      <c r="V164" s="725"/>
      <c r="W164" s="725"/>
      <c r="X164" s="725"/>
      <c r="Y164" s="725"/>
      <c r="Z164" s="725"/>
      <c r="AA164" s="725"/>
      <c r="AB164" s="725"/>
      <c r="AC164" s="725"/>
      <c r="AD164" s="725"/>
      <c r="AE164" s="725"/>
      <c r="AF164" s="725"/>
      <c r="AG164" s="725"/>
      <c r="AH164" s="725"/>
      <c r="AI164" s="725"/>
      <c r="AJ164" s="725">
        <v>741.83894716925431</v>
      </c>
      <c r="AK164" s="725">
        <v>834.94627064012025</v>
      </c>
      <c r="AL164" s="725"/>
    </row>
    <row r="165" spans="2:38" s="231" customFormat="1" ht="15" customHeight="1">
      <c r="B165" s="716" t="s">
        <v>2428</v>
      </c>
      <c r="C165" s="717">
        <v>534</v>
      </c>
      <c r="D165" s="718" t="s">
        <v>2260</v>
      </c>
      <c r="E165" s="719" t="s">
        <v>2261</v>
      </c>
      <c r="F165" s="718" t="s">
        <v>2262</v>
      </c>
      <c r="H165" s="720">
        <v>461.47586985096359</v>
      </c>
      <c r="I165" s="721">
        <v>0.86418702219281573</v>
      </c>
      <c r="J165" s="722">
        <v>534</v>
      </c>
      <c r="K165" s="722">
        <v>804.64776224204968</v>
      </c>
      <c r="L165" s="722">
        <v>995.47586985096359</v>
      </c>
      <c r="M165" s="723" t="s">
        <v>2235</v>
      </c>
      <c r="N165" s="717">
        <v>534</v>
      </c>
      <c r="O165" s="724">
        <v>45686</v>
      </c>
      <c r="P165" s="725">
        <v>534</v>
      </c>
      <c r="Q165" s="725"/>
      <c r="R165" s="725"/>
      <c r="S165" s="725"/>
      <c r="T165" s="725"/>
      <c r="U165" s="725"/>
      <c r="V165" s="725"/>
      <c r="W165" s="725"/>
      <c r="X165" s="725"/>
      <c r="Y165" s="725"/>
      <c r="Z165" s="725"/>
      <c r="AA165" s="725"/>
      <c r="AB165" s="725"/>
      <c r="AC165" s="725"/>
      <c r="AD165" s="725"/>
      <c r="AE165" s="725"/>
      <c r="AF165" s="725"/>
      <c r="AG165" s="725"/>
      <c r="AH165" s="725"/>
      <c r="AI165" s="725"/>
      <c r="AJ165" s="725">
        <v>884.46741687518522</v>
      </c>
      <c r="AK165" s="725">
        <v>995.47586985096359</v>
      </c>
      <c r="AL165" s="725"/>
    </row>
    <row r="166" spans="2:38" s="231" customFormat="1" ht="15" customHeight="1">
      <c r="B166" s="716" t="s">
        <v>2429</v>
      </c>
      <c r="C166" s="717">
        <v>160</v>
      </c>
      <c r="D166" s="718" t="s">
        <v>2260</v>
      </c>
      <c r="E166" s="719" t="s">
        <v>2261</v>
      </c>
      <c r="F166" s="718" t="s">
        <v>2262</v>
      </c>
      <c r="H166" s="720">
        <v>10</v>
      </c>
      <c r="I166" s="721">
        <v>6.6666666666666666E-2</v>
      </c>
      <c r="J166" s="722">
        <v>150</v>
      </c>
      <c r="K166" s="722">
        <v>155</v>
      </c>
      <c r="L166" s="722">
        <v>160</v>
      </c>
      <c r="M166" s="723" t="s">
        <v>2236</v>
      </c>
      <c r="N166" s="717">
        <v>160</v>
      </c>
      <c r="O166" s="724">
        <v>45686</v>
      </c>
      <c r="P166" s="725"/>
      <c r="Q166" s="725">
        <v>160</v>
      </c>
      <c r="R166" s="725"/>
      <c r="S166" s="725"/>
      <c r="T166" s="725"/>
      <c r="U166" s="725"/>
      <c r="V166" s="725"/>
      <c r="W166" s="725"/>
      <c r="X166" s="725"/>
      <c r="Y166" s="725"/>
      <c r="Z166" s="725"/>
      <c r="AA166" s="725"/>
      <c r="AB166" s="725"/>
      <c r="AC166" s="725"/>
      <c r="AD166" s="725"/>
      <c r="AE166" s="725"/>
      <c r="AF166" s="725"/>
      <c r="AG166" s="725"/>
      <c r="AH166" s="725"/>
      <c r="AI166" s="725"/>
      <c r="AJ166" s="725" t="s">
        <v>2303</v>
      </c>
      <c r="AK166" s="725" t="s">
        <v>2303</v>
      </c>
      <c r="AL166" s="725">
        <v>150</v>
      </c>
    </row>
    <row r="167" spans="2:38" s="231" customFormat="1" ht="15" customHeight="1">
      <c r="B167" s="716" t="s">
        <v>2430</v>
      </c>
      <c r="C167" s="717">
        <v>251.5</v>
      </c>
      <c r="D167" s="718" t="s">
        <v>2260</v>
      </c>
      <c r="E167" s="719" t="s">
        <v>2261</v>
      </c>
      <c r="F167" s="718" t="s">
        <v>2262</v>
      </c>
      <c r="H167" s="720">
        <v>85</v>
      </c>
      <c r="I167" s="721">
        <v>0.40669856459330145</v>
      </c>
      <c r="J167" s="722">
        <v>209</v>
      </c>
      <c r="K167" s="722">
        <v>241.51476596401204</v>
      </c>
      <c r="L167" s="722">
        <v>294</v>
      </c>
      <c r="M167" s="723" t="s">
        <v>2251</v>
      </c>
      <c r="N167" s="717">
        <v>251.5</v>
      </c>
      <c r="O167" s="724">
        <v>45686</v>
      </c>
      <c r="P167" s="725">
        <v>294</v>
      </c>
      <c r="Q167" s="725"/>
      <c r="R167" s="725"/>
      <c r="S167" s="725"/>
      <c r="T167" s="725"/>
      <c r="U167" s="725"/>
      <c r="V167" s="725"/>
      <c r="W167" s="725"/>
      <c r="X167" s="725"/>
      <c r="Y167" s="725"/>
      <c r="Z167" s="725"/>
      <c r="AA167" s="725"/>
      <c r="AB167" s="725"/>
      <c r="AC167" s="725"/>
      <c r="AD167" s="725"/>
      <c r="AE167" s="725">
        <v>209</v>
      </c>
      <c r="AF167" s="725">
        <v>251.5</v>
      </c>
      <c r="AG167" s="725"/>
      <c r="AH167" s="725"/>
      <c r="AI167" s="725"/>
      <c r="AJ167" s="725">
        <v>213.16017496067695</v>
      </c>
      <c r="AK167" s="725">
        <v>239.91365485938329</v>
      </c>
      <c r="AL167" s="725"/>
    </row>
    <row r="168" spans="2:38" s="231" customFormat="1" ht="15" customHeight="1">
      <c r="B168" s="716" t="s">
        <v>2431</v>
      </c>
      <c r="C168" s="717">
        <v>330</v>
      </c>
      <c r="D168" s="718" t="s">
        <v>2260</v>
      </c>
      <c r="E168" s="719" t="s">
        <v>2261</v>
      </c>
      <c r="F168" s="718" t="s">
        <v>2262</v>
      </c>
      <c r="H168" s="720">
        <v>114.5023263855042</v>
      </c>
      <c r="I168" s="721">
        <v>0.53133903705307572</v>
      </c>
      <c r="J168" s="722">
        <v>215.4976736144958</v>
      </c>
      <c r="K168" s="722">
        <v>262.68073460070514</v>
      </c>
      <c r="L168" s="722">
        <v>330</v>
      </c>
      <c r="M168" s="723" t="s">
        <v>2235</v>
      </c>
      <c r="N168" s="717">
        <v>330</v>
      </c>
      <c r="O168" s="724">
        <v>45686</v>
      </c>
      <c r="P168" s="725">
        <v>330</v>
      </c>
      <c r="Q168" s="725"/>
      <c r="R168" s="725"/>
      <c r="S168" s="725"/>
      <c r="T168" s="725"/>
      <c r="U168" s="725"/>
      <c r="V168" s="725"/>
      <c r="W168" s="725"/>
      <c r="X168" s="725"/>
      <c r="Y168" s="725"/>
      <c r="Z168" s="725"/>
      <c r="AA168" s="725"/>
      <c r="AB168" s="725"/>
      <c r="AC168" s="725"/>
      <c r="AD168" s="725"/>
      <c r="AE168" s="725"/>
      <c r="AF168" s="725"/>
      <c r="AG168" s="725"/>
      <c r="AH168" s="725"/>
      <c r="AI168" s="725"/>
      <c r="AJ168" s="725">
        <v>215.4976736144958</v>
      </c>
      <c r="AK168" s="725">
        <v>242.54453018761956</v>
      </c>
      <c r="AL168" s="725"/>
    </row>
    <row r="169" spans="2:38" s="231" customFormat="1" ht="15" customHeight="1">
      <c r="B169" s="716" t="s">
        <v>2432</v>
      </c>
      <c r="C169" s="717">
        <v>384</v>
      </c>
      <c r="D169" s="718" t="s">
        <v>2260</v>
      </c>
      <c r="E169" s="719" t="s">
        <v>2261</v>
      </c>
      <c r="F169" s="718" t="s">
        <v>2262</v>
      </c>
      <c r="H169" s="720">
        <v>44.615618015221514</v>
      </c>
      <c r="I169" s="721">
        <v>0.12550880999999994</v>
      </c>
      <c r="J169" s="722">
        <v>355.47797812138873</v>
      </c>
      <c r="K169" s="722">
        <v>379.85719141933305</v>
      </c>
      <c r="L169" s="722">
        <v>400.09359613661024</v>
      </c>
      <c r="M169" s="723" t="s">
        <v>2235</v>
      </c>
      <c r="N169" s="717">
        <v>384</v>
      </c>
      <c r="O169" s="724">
        <v>45686</v>
      </c>
      <c r="P169" s="725">
        <v>384</v>
      </c>
      <c r="Q169" s="725"/>
      <c r="R169" s="725"/>
      <c r="S169" s="725"/>
      <c r="T169" s="725"/>
      <c r="U169" s="725"/>
      <c r="V169" s="725"/>
      <c r="W169" s="725"/>
      <c r="X169" s="725"/>
      <c r="Y169" s="725"/>
      <c r="Z169" s="725"/>
      <c r="AA169" s="725"/>
      <c r="AB169" s="725"/>
      <c r="AC169" s="725"/>
      <c r="AD169" s="725"/>
      <c r="AE169" s="725"/>
      <c r="AF169" s="725"/>
      <c r="AG169" s="725"/>
      <c r="AH169" s="725"/>
      <c r="AI169" s="725"/>
      <c r="AJ169" s="725">
        <v>355.47797812138873</v>
      </c>
      <c r="AK169" s="725">
        <v>400.09359613661024</v>
      </c>
      <c r="AL169" s="725"/>
    </row>
    <row r="170" spans="2:38" s="231" customFormat="1" ht="15" customHeight="1">
      <c r="B170" s="716" t="s">
        <v>2433</v>
      </c>
      <c r="C170" s="717">
        <v>323</v>
      </c>
      <c r="D170" s="718" t="s">
        <v>2260</v>
      </c>
      <c r="E170" s="719" t="s">
        <v>2261</v>
      </c>
      <c r="F170" s="718" t="s">
        <v>2323</v>
      </c>
      <c r="H170" s="720">
        <v>322.78116882031395</v>
      </c>
      <c r="I170" s="721">
        <v>1.3228736427062047</v>
      </c>
      <c r="J170" s="722">
        <v>244</v>
      </c>
      <c r="K170" s="722">
        <v>407.87177926393571</v>
      </c>
      <c r="L170" s="722">
        <v>566.78116882031395</v>
      </c>
      <c r="M170" s="723" t="s">
        <v>2237</v>
      </c>
      <c r="N170" s="717">
        <v>323</v>
      </c>
      <c r="O170" s="724">
        <v>45686</v>
      </c>
      <c r="P170" s="725">
        <v>402</v>
      </c>
      <c r="Q170" s="725">
        <v>244</v>
      </c>
      <c r="R170" s="725">
        <v>323</v>
      </c>
      <c r="S170" s="725"/>
      <c r="T170" s="725"/>
      <c r="U170" s="725"/>
      <c r="V170" s="725"/>
      <c r="W170" s="725"/>
      <c r="X170" s="725"/>
      <c r="Y170" s="725"/>
      <c r="Z170" s="725"/>
      <c r="AA170" s="725"/>
      <c r="AB170" s="725"/>
      <c r="AC170" s="725"/>
      <c r="AD170" s="725"/>
      <c r="AE170" s="725"/>
      <c r="AF170" s="725"/>
      <c r="AG170" s="725"/>
      <c r="AH170" s="725"/>
      <c r="AI170" s="725"/>
      <c r="AJ170" s="725">
        <v>503.57772749936453</v>
      </c>
      <c r="AK170" s="725">
        <v>566.78116882031395</v>
      </c>
      <c r="AL170" s="725"/>
    </row>
    <row r="171" spans="2:38" s="231" customFormat="1" ht="15" customHeight="1">
      <c r="B171" s="716" t="s">
        <v>2434</v>
      </c>
      <c r="C171" s="717">
        <v>289.5</v>
      </c>
      <c r="D171" s="718" t="s">
        <v>2260</v>
      </c>
      <c r="E171" s="719" t="s">
        <v>2261</v>
      </c>
      <c r="F171" s="718" t="s">
        <v>2323</v>
      </c>
      <c r="H171" s="720">
        <v>99</v>
      </c>
      <c r="I171" s="721">
        <v>0.41249999999999998</v>
      </c>
      <c r="J171" s="722">
        <v>240</v>
      </c>
      <c r="K171" s="722">
        <v>281.11167756455541</v>
      </c>
      <c r="L171" s="722">
        <v>339</v>
      </c>
      <c r="M171" s="723" t="s">
        <v>2237</v>
      </c>
      <c r="N171" s="717">
        <v>289.5</v>
      </c>
      <c r="O171" s="724">
        <v>45686</v>
      </c>
      <c r="P171" s="725">
        <v>339</v>
      </c>
      <c r="Q171" s="725">
        <v>240</v>
      </c>
      <c r="R171" s="725">
        <v>289.5</v>
      </c>
      <c r="S171" s="725"/>
      <c r="T171" s="725"/>
      <c r="U171" s="725"/>
      <c r="V171" s="725"/>
      <c r="W171" s="725"/>
      <c r="X171" s="725"/>
      <c r="Y171" s="725"/>
      <c r="Z171" s="725"/>
      <c r="AA171" s="725"/>
      <c r="AB171" s="725"/>
      <c r="AC171" s="725"/>
      <c r="AD171" s="725"/>
      <c r="AE171" s="725"/>
      <c r="AF171" s="725"/>
      <c r="AG171" s="725"/>
      <c r="AH171" s="725"/>
      <c r="AI171" s="725"/>
      <c r="AJ171" s="725">
        <v>252.67285898606877</v>
      </c>
      <c r="AK171" s="725">
        <v>284.38552883670803</v>
      </c>
      <c r="AL171" s="725"/>
    </row>
    <row r="172" spans="2:38" s="231" customFormat="1" ht="15" customHeight="1">
      <c r="B172" s="716" t="s">
        <v>2435</v>
      </c>
      <c r="C172" s="717">
        <v>130</v>
      </c>
      <c r="D172" s="718" t="s">
        <v>2260</v>
      </c>
      <c r="E172" s="719" t="s">
        <v>2261</v>
      </c>
      <c r="F172" s="718" t="s">
        <v>2262</v>
      </c>
      <c r="H172" s="720">
        <v>21.94368935</v>
      </c>
      <c r="I172" s="721">
        <v>0.16879761038461538</v>
      </c>
      <c r="J172" s="722">
        <v>130</v>
      </c>
      <c r="K172" s="722">
        <v>141.7359223375</v>
      </c>
      <c r="L172" s="722">
        <v>151.94368935</v>
      </c>
      <c r="M172" s="723" t="s">
        <v>2247</v>
      </c>
      <c r="N172" s="717">
        <v>130</v>
      </c>
      <c r="O172" s="724">
        <v>45686</v>
      </c>
      <c r="P172" s="725"/>
      <c r="Q172" s="725"/>
      <c r="R172" s="725"/>
      <c r="S172" s="725"/>
      <c r="T172" s="725"/>
      <c r="U172" s="725"/>
      <c r="V172" s="725"/>
      <c r="W172" s="725"/>
      <c r="X172" s="725"/>
      <c r="Y172" s="725"/>
      <c r="Z172" s="725"/>
      <c r="AA172" s="725"/>
      <c r="AB172" s="725">
        <v>130</v>
      </c>
      <c r="AC172" s="725"/>
      <c r="AD172" s="725"/>
      <c r="AE172" s="725"/>
      <c r="AF172" s="725"/>
      <c r="AG172" s="725"/>
      <c r="AH172" s="725"/>
      <c r="AI172" s="725"/>
      <c r="AJ172" s="725">
        <v>135</v>
      </c>
      <c r="AK172" s="725">
        <v>151.94368935</v>
      </c>
      <c r="AL172" s="725">
        <v>150</v>
      </c>
    </row>
    <row r="173" spans="2:38" s="231" customFormat="1" ht="15" customHeight="1">
      <c r="B173" s="716" t="s">
        <v>2436</v>
      </c>
      <c r="C173" s="717">
        <v>150</v>
      </c>
      <c r="D173" s="718" t="s">
        <v>2260</v>
      </c>
      <c r="E173" s="719" t="s">
        <v>2261</v>
      </c>
      <c r="F173" s="718"/>
      <c r="H173" s="720">
        <v>102.40499376333335</v>
      </c>
      <c r="I173" s="721">
        <v>2.1515911407621942</v>
      </c>
      <c r="J173" s="722">
        <v>47.595006236666656</v>
      </c>
      <c r="K173" s="722">
        <v>83.721201689346643</v>
      </c>
      <c r="L173" s="722">
        <v>150</v>
      </c>
      <c r="M173" s="723" t="s">
        <v>2257</v>
      </c>
      <c r="N173" s="717">
        <v>150</v>
      </c>
      <c r="O173" s="724">
        <v>45686</v>
      </c>
      <c r="P173" s="725"/>
      <c r="Q173" s="725"/>
      <c r="R173" s="725"/>
      <c r="S173" s="725"/>
      <c r="T173" s="725"/>
      <c r="U173" s="725"/>
      <c r="V173" s="725"/>
      <c r="W173" s="725"/>
      <c r="X173" s="725"/>
      <c r="Y173" s="725"/>
      <c r="Z173" s="725"/>
      <c r="AA173" s="725"/>
      <c r="AB173" s="725"/>
      <c r="AC173" s="725"/>
      <c r="AD173" s="725"/>
      <c r="AE173" s="725"/>
      <c r="AF173" s="725"/>
      <c r="AG173" s="725"/>
      <c r="AH173" s="725"/>
      <c r="AI173" s="725"/>
      <c r="AJ173" s="725">
        <v>47.595006236666656</v>
      </c>
      <c r="AK173" s="725">
        <v>53.568598831373265</v>
      </c>
      <c r="AL173" s="725">
        <v>150</v>
      </c>
    </row>
    <row r="174" spans="2:38" s="231" customFormat="1" ht="15" customHeight="1">
      <c r="B174" s="716" t="s">
        <v>2437</v>
      </c>
      <c r="C174" s="717">
        <v>187</v>
      </c>
      <c r="D174" s="718" t="s">
        <v>2260</v>
      </c>
      <c r="E174" s="719" t="s">
        <v>2438</v>
      </c>
      <c r="F174" s="718" t="s">
        <v>2439</v>
      </c>
      <c r="H174" s="720">
        <v>73.600309867399972</v>
      </c>
      <c r="I174" s="721">
        <v>0.3935845447454544</v>
      </c>
      <c r="J174" s="722">
        <v>187</v>
      </c>
      <c r="K174" s="722">
        <v>232.28507746685</v>
      </c>
      <c r="L174" s="722">
        <v>260.60030986739997</v>
      </c>
      <c r="M174" s="723" t="s">
        <v>2250</v>
      </c>
      <c r="N174" s="717">
        <v>187</v>
      </c>
      <c r="O174" s="724">
        <v>45686</v>
      </c>
      <c r="P174" s="725"/>
      <c r="Q174" s="725"/>
      <c r="R174" s="725"/>
      <c r="S174" s="725"/>
      <c r="T174" s="725"/>
      <c r="U174" s="725"/>
      <c r="V174" s="725"/>
      <c r="W174" s="725"/>
      <c r="X174" s="725"/>
      <c r="Y174" s="725"/>
      <c r="Z174" s="725"/>
      <c r="AA174" s="725"/>
      <c r="AB174" s="725"/>
      <c r="AC174" s="725"/>
      <c r="AD174" s="725"/>
      <c r="AE174" s="725">
        <v>187</v>
      </c>
      <c r="AF174" s="725"/>
      <c r="AG174" s="725"/>
      <c r="AH174" s="725"/>
      <c r="AI174" s="725"/>
      <c r="AJ174" s="725">
        <v>231.54</v>
      </c>
      <c r="AK174" s="725">
        <v>260.60030986739997</v>
      </c>
      <c r="AL174" s="725">
        <v>250</v>
      </c>
    </row>
    <row r="175" spans="2:38" s="231" customFormat="1" ht="15" customHeight="1">
      <c r="B175" s="716" t="s">
        <v>2440</v>
      </c>
      <c r="C175" s="717">
        <v>365.27668102911599</v>
      </c>
      <c r="D175" s="718" t="s">
        <v>2260</v>
      </c>
      <c r="E175" s="719" t="s">
        <v>2261</v>
      </c>
      <c r="F175" s="718"/>
      <c r="H175" s="720">
        <v>40.733081029115965</v>
      </c>
      <c r="I175" s="721">
        <v>0.12550880999999989</v>
      </c>
      <c r="J175" s="722">
        <v>324.54360000000003</v>
      </c>
      <c r="K175" s="722">
        <v>344.91014051455801</v>
      </c>
      <c r="L175" s="722">
        <v>365.27668102911599</v>
      </c>
      <c r="M175" s="723" t="s">
        <v>2256</v>
      </c>
      <c r="N175" s="717">
        <v>365.27668102911599</v>
      </c>
      <c r="O175" s="724">
        <v>45686</v>
      </c>
      <c r="P175" s="725"/>
      <c r="Q175" s="725"/>
      <c r="R175" s="725"/>
      <c r="S175" s="725"/>
      <c r="T175" s="725"/>
      <c r="U175" s="725"/>
      <c r="V175" s="725"/>
      <c r="W175" s="725"/>
      <c r="X175" s="725"/>
      <c r="Y175" s="725"/>
      <c r="Z175" s="725"/>
      <c r="AA175" s="725"/>
      <c r="AB175" s="725"/>
      <c r="AC175" s="725"/>
      <c r="AD175" s="725"/>
      <c r="AE175" s="725"/>
      <c r="AF175" s="725"/>
      <c r="AG175" s="725"/>
      <c r="AH175" s="725"/>
      <c r="AI175" s="725"/>
      <c r="AJ175" s="725">
        <v>324.54360000000003</v>
      </c>
      <c r="AK175" s="725">
        <v>365.27668102911599</v>
      </c>
      <c r="AL175" s="725"/>
    </row>
    <row r="176" spans="2:38" s="231" customFormat="1" ht="15" customHeight="1">
      <c r="B176" s="726" t="s">
        <v>2441</v>
      </c>
      <c r="C176" s="717">
        <v>166</v>
      </c>
      <c r="D176" s="718" t="s">
        <v>2260</v>
      </c>
      <c r="E176" s="719" t="s">
        <v>2261</v>
      </c>
      <c r="F176" s="718" t="s">
        <v>2262</v>
      </c>
      <c r="H176" s="720">
        <v>46</v>
      </c>
      <c r="I176" s="721">
        <v>0.38333333333333336</v>
      </c>
      <c r="J176" s="722">
        <v>120</v>
      </c>
      <c r="K176" s="722">
        <v>140.35368573333332</v>
      </c>
      <c r="L176" s="722">
        <v>166</v>
      </c>
      <c r="M176" s="723" t="s">
        <v>2236</v>
      </c>
      <c r="N176" s="717">
        <v>166</v>
      </c>
      <c r="O176" s="724">
        <v>45686</v>
      </c>
      <c r="P176" s="725"/>
      <c r="Q176" s="725">
        <v>166</v>
      </c>
      <c r="R176" s="725"/>
      <c r="S176" s="725"/>
      <c r="T176" s="725"/>
      <c r="U176" s="725"/>
      <c r="V176" s="725"/>
      <c r="W176" s="725"/>
      <c r="X176" s="725"/>
      <c r="Y176" s="725"/>
      <c r="Z176" s="725"/>
      <c r="AA176" s="725"/>
      <c r="AB176" s="725"/>
      <c r="AC176" s="725"/>
      <c r="AD176" s="725"/>
      <c r="AE176" s="725"/>
      <c r="AF176" s="725"/>
      <c r="AG176" s="725"/>
      <c r="AH176" s="725"/>
      <c r="AI176" s="725"/>
      <c r="AJ176" s="725">
        <v>120</v>
      </c>
      <c r="AK176" s="725">
        <v>135.06105719999999</v>
      </c>
      <c r="AL176" s="725"/>
    </row>
    <row r="177" spans="2:38" s="231" customFormat="1" ht="15" customHeight="1">
      <c r="B177" s="734" t="s">
        <v>2442</v>
      </c>
      <c r="C177" s="717">
        <v>250</v>
      </c>
      <c r="D177" s="718" t="s">
        <v>2260</v>
      </c>
      <c r="E177" s="719" t="s">
        <v>2261</v>
      </c>
      <c r="F177" s="718"/>
      <c r="H177" s="720">
        <v>250</v>
      </c>
      <c r="I177" s="721" t="s">
        <v>2272</v>
      </c>
      <c r="J177" s="722">
        <v>0</v>
      </c>
      <c r="K177" s="722">
        <v>125</v>
      </c>
      <c r="L177" s="722">
        <v>250</v>
      </c>
      <c r="M177" s="723" t="s">
        <v>2257</v>
      </c>
      <c r="N177" s="717">
        <v>250</v>
      </c>
      <c r="O177" s="724">
        <v>45686</v>
      </c>
      <c r="P177" s="725"/>
      <c r="Q177" s="725"/>
      <c r="R177" s="725"/>
      <c r="S177" s="725"/>
      <c r="T177" s="725"/>
      <c r="U177" s="725"/>
      <c r="V177" s="725"/>
      <c r="W177" s="725"/>
      <c r="X177" s="725"/>
      <c r="Y177" s="725"/>
      <c r="Z177" s="725"/>
      <c r="AA177" s="725"/>
      <c r="AB177" s="725"/>
      <c r="AC177" s="725"/>
      <c r="AD177" s="725"/>
      <c r="AE177" s="725"/>
      <c r="AF177" s="725"/>
      <c r="AG177" s="725"/>
      <c r="AH177" s="725"/>
      <c r="AI177" s="725"/>
      <c r="AJ177" s="725"/>
      <c r="AK177" s="725">
        <v>0</v>
      </c>
      <c r="AL177" s="725">
        <v>250</v>
      </c>
    </row>
    <row r="178" spans="2:38" s="231" customFormat="1" ht="15" customHeight="1">
      <c r="B178" s="734" t="s">
        <v>2443</v>
      </c>
      <c r="C178" s="717">
        <v>300</v>
      </c>
      <c r="D178" s="718" t="s">
        <v>2260</v>
      </c>
      <c r="E178" s="719" t="s">
        <v>2261</v>
      </c>
      <c r="F178" s="718"/>
      <c r="H178" s="720">
        <v>300</v>
      </c>
      <c r="I178" s="721" t="s">
        <v>2272</v>
      </c>
      <c r="J178" s="722">
        <v>0</v>
      </c>
      <c r="K178" s="722">
        <v>150</v>
      </c>
      <c r="L178" s="722">
        <v>300</v>
      </c>
      <c r="M178" s="723" t="s">
        <v>2257</v>
      </c>
      <c r="N178" s="717">
        <v>300</v>
      </c>
      <c r="O178" s="724">
        <v>45686</v>
      </c>
      <c r="P178" s="725"/>
      <c r="Q178" s="725"/>
      <c r="R178" s="725"/>
      <c r="S178" s="725"/>
      <c r="T178" s="725"/>
      <c r="U178" s="725"/>
      <c r="V178" s="725"/>
      <c r="W178" s="725"/>
      <c r="X178" s="725"/>
      <c r="Y178" s="725"/>
      <c r="Z178" s="725"/>
      <c r="AA178" s="725"/>
      <c r="AB178" s="725"/>
      <c r="AC178" s="725"/>
      <c r="AD178" s="725"/>
      <c r="AE178" s="725"/>
      <c r="AF178" s="725"/>
      <c r="AG178" s="725"/>
      <c r="AH178" s="725"/>
      <c r="AI178" s="725"/>
      <c r="AJ178" s="725"/>
      <c r="AK178" s="725">
        <v>0</v>
      </c>
      <c r="AL178" s="725">
        <v>300</v>
      </c>
    </row>
    <row r="179" spans="2:38" s="231" customFormat="1" ht="15" customHeight="1">
      <c r="B179" s="715" t="s">
        <v>2444</v>
      </c>
      <c r="C179" s="679"/>
      <c r="D179" s="679"/>
      <c r="E179" s="679"/>
      <c r="F179" s="679"/>
    </row>
    <row r="180" spans="2:38" s="231" customFormat="1" ht="15" customHeight="1">
      <c r="B180" s="716" t="s">
        <v>2445</v>
      </c>
      <c r="C180" s="717">
        <v>85</v>
      </c>
      <c r="D180" s="718" t="s">
        <v>2260</v>
      </c>
      <c r="E180" s="719"/>
      <c r="F180" s="718" t="s">
        <v>2262</v>
      </c>
      <c r="H180" s="720">
        <v>10.586023950657975</v>
      </c>
      <c r="I180" s="721">
        <v>0.12550880999999997</v>
      </c>
      <c r="J180" s="722">
        <v>84.344867508965919</v>
      </c>
      <c r="K180" s="722">
        <v>88.091919656196595</v>
      </c>
      <c r="L180" s="722">
        <v>94.930891459623894</v>
      </c>
      <c r="M180" s="723" t="s">
        <v>2236</v>
      </c>
      <c r="N180" s="717">
        <v>85</v>
      </c>
      <c r="O180" s="724">
        <v>45686</v>
      </c>
      <c r="P180" s="725"/>
      <c r="Q180" s="725">
        <v>85</v>
      </c>
      <c r="R180" s="725"/>
      <c r="S180" s="725"/>
      <c r="T180" s="725"/>
      <c r="U180" s="725"/>
      <c r="V180" s="725"/>
      <c r="W180" s="725"/>
      <c r="X180" s="725"/>
      <c r="Y180" s="725"/>
      <c r="Z180" s="725"/>
      <c r="AA180" s="725"/>
      <c r="AB180" s="725"/>
      <c r="AC180" s="725"/>
      <c r="AD180" s="725"/>
      <c r="AE180" s="725"/>
      <c r="AF180" s="725"/>
      <c r="AG180" s="725"/>
      <c r="AH180" s="725"/>
      <c r="AI180" s="725"/>
      <c r="AJ180" s="725">
        <v>84.344867508965919</v>
      </c>
      <c r="AK180" s="725">
        <v>94.930891459623894</v>
      </c>
      <c r="AL180" s="725"/>
    </row>
    <row r="181" spans="2:38" s="231" customFormat="1" ht="15" customHeight="1">
      <c r="B181" s="716" t="s">
        <v>2446</v>
      </c>
      <c r="C181" s="717">
        <v>140</v>
      </c>
      <c r="D181" s="718" t="s">
        <v>2260</v>
      </c>
      <c r="E181" s="719"/>
      <c r="F181" s="718" t="s">
        <v>2262</v>
      </c>
      <c r="H181" s="720">
        <v>28.766029261553598</v>
      </c>
      <c r="I181" s="721">
        <v>0.20547163758252571</v>
      </c>
      <c r="J181" s="722">
        <v>140</v>
      </c>
      <c r="K181" s="722">
        <v>152.90415346286807</v>
      </c>
      <c r="L181" s="722">
        <v>168.7660292615536</v>
      </c>
      <c r="M181" s="723" t="s">
        <v>2236</v>
      </c>
      <c r="N181" s="717">
        <v>140</v>
      </c>
      <c r="O181" s="724">
        <v>45686</v>
      </c>
      <c r="P181" s="725"/>
      <c r="Q181" s="725">
        <v>140</v>
      </c>
      <c r="R181" s="725"/>
      <c r="S181" s="725"/>
      <c r="T181" s="725"/>
      <c r="U181" s="725"/>
      <c r="V181" s="725"/>
      <c r="W181" s="725"/>
      <c r="X181" s="725"/>
      <c r="Y181" s="725"/>
      <c r="Z181" s="725"/>
      <c r="AA181" s="725"/>
      <c r="AB181" s="725"/>
      <c r="AC181" s="725"/>
      <c r="AD181" s="725"/>
      <c r="AE181" s="725"/>
      <c r="AF181" s="725"/>
      <c r="AG181" s="725"/>
      <c r="AH181" s="725"/>
      <c r="AI181" s="725"/>
      <c r="AJ181" s="725">
        <v>149.94643112705054</v>
      </c>
      <c r="AK181" s="725">
        <v>168.7660292615536</v>
      </c>
      <c r="AL181" s="725"/>
    </row>
    <row r="182" spans="2:38" s="231" customFormat="1" ht="15" customHeight="1">
      <c r="B182" s="716" t="s">
        <v>2447</v>
      </c>
      <c r="C182" s="717">
        <v>140</v>
      </c>
      <c r="D182" s="718" t="s">
        <v>2260</v>
      </c>
      <c r="E182" s="719"/>
      <c r="F182" s="718" t="s">
        <v>2262</v>
      </c>
      <c r="H182" s="720">
        <v>49.861782919247787</v>
      </c>
      <c r="I182" s="721">
        <v>0.35615559228034133</v>
      </c>
      <c r="J182" s="722">
        <v>140</v>
      </c>
      <c r="K182" s="722">
        <v>166.18383931239322</v>
      </c>
      <c r="L182" s="722">
        <v>189.86178291924779</v>
      </c>
      <c r="M182" s="723" t="s">
        <v>2236</v>
      </c>
      <c r="N182" s="717">
        <v>140</v>
      </c>
      <c r="O182" s="724">
        <v>45686</v>
      </c>
      <c r="P182" s="725"/>
      <c r="Q182" s="725">
        <v>140</v>
      </c>
      <c r="R182" s="725"/>
      <c r="S182" s="725"/>
      <c r="T182" s="725"/>
      <c r="U182" s="725"/>
      <c r="V182" s="725"/>
      <c r="W182" s="725"/>
      <c r="X182" s="725"/>
      <c r="Y182" s="725"/>
      <c r="Z182" s="725"/>
      <c r="AA182" s="725"/>
      <c r="AB182" s="725"/>
      <c r="AC182" s="725"/>
      <c r="AD182" s="725"/>
      <c r="AE182" s="725"/>
      <c r="AF182" s="725"/>
      <c r="AG182" s="725"/>
      <c r="AH182" s="725"/>
      <c r="AI182" s="725"/>
      <c r="AJ182" s="725">
        <v>168.68973501793184</v>
      </c>
      <c r="AK182" s="725">
        <v>189.86178291924779</v>
      </c>
      <c r="AL182" s="725"/>
    </row>
    <row r="183" spans="2:38" s="231" customFormat="1" ht="15" customHeight="1">
      <c r="B183" s="716" t="s">
        <v>2448</v>
      </c>
      <c r="C183" s="717">
        <v>130</v>
      </c>
      <c r="D183" s="718" t="s">
        <v>2260</v>
      </c>
      <c r="E183" s="719"/>
      <c r="F183" s="718" t="s">
        <v>2262</v>
      </c>
      <c r="H183" s="720">
        <v>34.546878530014794</v>
      </c>
      <c r="I183" s="721">
        <v>0.26574521946165225</v>
      </c>
      <c r="J183" s="722">
        <v>130</v>
      </c>
      <c r="K183" s="722">
        <v>146.91488295962969</v>
      </c>
      <c r="L183" s="722">
        <v>164.54687853001479</v>
      </c>
      <c r="M183" s="723" t="s">
        <v>2236</v>
      </c>
      <c r="N183" s="717">
        <v>130</v>
      </c>
      <c r="O183" s="724">
        <v>45686</v>
      </c>
      <c r="P183" s="725"/>
      <c r="Q183" s="725">
        <v>130</v>
      </c>
      <c r="R183" s="725"/>
      <c r="S183" s="725"/>
      <c r="T183" s="725"/>
      <c r="U183" s="725"/>
      <c r="V183" s="725"/>
      <c r="W183" s="725"/>
      <c r="X183" s="725"/>
      <c r="Y183" s="725"/>
      <c r="Z183" s="725"/>
      <c r="AA183" s="725"/>
      <c r="AB183" s="725"/>
      <c r="AC183" s="725"/>
      <c r="AD183" s="725"/>
      <c r="AE183" s="725"/>
      <c r="AF183" s="725"/>
      <c r="AG183" s="725"/>
      <c r="AH183" s="725"/>
      <c r="AI183" s="725"/>
      <c r="AJ183" s="725">
        <v>146.19777034887431</v>
      </c>
      <c r="AK183" s="725">
        <v>164.54687853001479</v>
      </c>
      <c r="AL183" s="725"/>
    </row>
    <row r="184" spans="2:38" s="231" customFormat="1" ht="15" customHeight="1">
      <c r="B184" s="716" t="s">
        <v>2449</v>
      </c>
      <c r="C184" s="717">
        <v>116.02664511731808</v>
      </c>
      <c r="D184" s="718" t="s">
        <v>2260</v>
      </c>
      <c r="E184" s="719"/>
      <c r="F184" s="718"/>
      <c r="H184" s="720">
        <v>12.938473717470856</v>
      </c>
      <c r="I184" s="721">
        <v>0.12550880999999997</v>
      </c>
      <c r="J184" s="722">
        <v>103.08817139984723</v>
      </c>
      <c r="K184" s="722">
        <v>109.55740825858265</v>
      </c>
      <c r="L184" s="722">
        <v>116.02664511731808</v>
      </c>
      <c r="M184" s="723" t="s">
        <v>2256</v>
      </c>
      <c r="N184" s="717">
        <v>116.02664511731808</v>
      </c>
      <c r="O184" s="724">
        <v>45686</v>
      </c>
      <c r="P184" s="725"/>
      <c r="Q184" s="725"/>
      <c r="R184" s="725"/>
      <c r="S184" s="725"/>
      <c r="T184" s="725"/>
      <c r="U184" s="725"/>
      <c r="V184" s="725"/>
      <c r="W184" s="725"/>
      <c r="X184" s="725"/>
      <c r="Y184" s="725"/>
      <c r="Z184" s="725"/>
      <c r="AA184" s="725"/>
      <c r="AB184" s="725"/>
      <c r="AC184" s="725"/>
      <c r="AD184" s="725"/>
      <c r="AE184" s="725"/>
      <c r="AF184" s="725"/>
      <c r="AG184" s="725"/>
      <c r="AH184" s="725"/>
      <c r="AI184" s="725"/>
      <c r="AJ184" s="725">
        <v>103.08817139984723</v>
      </c>
      <c r="AK184" s="725">
        <v>116.02664511731808</v>
      </c>
      <c r="AL184" s="725"/>
    </row>
    <row r="185" spans="2:38" s="231" customFormat="1" ht="15" customHeight="1">
      <c r="B185" s="716" t="s">
        <v>2450</v>
      </c>
      <c r="C185" s="717">
        <v>140.57477918160987</v>
      </c>
      <c r="D185" s="718" t="s">
        <v>2260</v>
      </c>
      <c r="E185" s="719"/>
      <c r="F185" s="718"/>
      <c r="H185" s="720">
        <v>0</v>
      </c>
      <c r="I185" s="721">
        <v>0</v>
      </c>
      <c r="J185" s="722">
        <v>140.57477918160987</v>
      </c>
      <c r="K185" s="722">
        <v>140.57477918160987</v>
      </c>
      <c r="L185" s="722">
        <v>140.57477918160987</v>
      </c>
      <c r="M185" s="723" t="s">
        <v>2257</v>
      </c>
      <c r="N185" s="717">
        <v>140.57477918160987</v>
      </c>
      <c r="O185" s="724">
        <v>45686</v>
      </c>
      <c r="P185" s="725"/>
      <c r="Q185" s="725"/>
      <c r="R185" s="725"/>
      <c r="S185" s="725"/>
      <c r="T185" s="725"/>
      <c r="U185" s="725"/>
      <c r="V185" s="725"/>
      <c r="W185" s="725"/>
      <c r="X185" s="725"/>
      <c r="Y185" s="725"/>
      <c r="Z185" s="725"/>
      <c r="AA185" s="725"/>
      <c r="AB185" s="725"/>
      <c r="AC185" s="725"/>
      <c r="AD185" s="725"/>
      <c r="AE185" s="725"/>
      <c r="AF185" s="725"/>
      <c r="AG185" s="725"/>
      <c r="AH185" s="725"/>
      <c r="AI185" s="725"/>
      <c r="AJ185" s="725" t="s">
        <v>2303</v>
      </c>
      <c r="AK185" s="725" t="s">
        <v>2303</v>
      </c>
      <c r="AL185" s="725">
        <v>140.57477918160987</v>
      </c>
    </row>
    <row r="186" spans="2:38" s="231" customFormat="1" ht="15" customHeight="1">
      <c r="B186" s="716" t="s">
        <v>2451</v>
      </c>
      <c r="C186" s="717">
        <v>164.54687853001479</v>
      </c>
      <c r="D186" s="718" t="s">
        <v>2260</v>
      </c>
      <c r="E186" s="719"/>
      <c r="F186" s="718"/>
      <c r="H186" s="720">
        <v>18.34910818114048</v>
      </c>
      <c r="I186" s="721">
        <v>0.12550880999999986</v>
      </c>
      <c r="J186" s="722">
        <v>146.19777034887431</v>
      </c>
      <c r="K186" s="722">
        <v>155.37232443944455</v>
      </c>
      <c r="L186" s="722">
        <v>164.54687853001479</v>
      </c>
      <c r="M186" s="723" t="s">
        <v>2256</v>
      </c>
      <c r="N186" s="717">
        <v>164.54687853001479</v>
      </c>
      <c r="O186" s="724">
        <v>45686</v>
      </c>
      <c r="P186" s="725"/>
      <c r="Q186" s="725"/>
      <c r="R186" s="725"/>
      <c r="S186" s="725"/>
      <c r="T186" s="725"/>
      <c r="U186" s="725"/>
      <c r="V186" s="725"/>
      <c r="W186" s="725"/>
      <c r="X186" s="725"/>
      <c r="Y186" s="725"/>
      <c r="Z186" s="725"/>
      <c r="AA186" s="725"/>
      <c r="AB186" s="725"/>
      <c r="AC186" s="725"/>
      <c r="AD186" s="725"/>
      <c r="AE186" s="725"/>
      <c r="AF186" s="725"/>
      <c r="AG186" s="725"/>
      <c r="AH186" s="725"/>
      <c r="AI186" s="725"/>
      <c r="AJ186" s="725">
        <v>146.19777034887431</v>
      </c>
      <c r="AK186" s="725">
        <v>164.54687853001479</v>
      </c>
      <c r="AL186" s="725"/>
    </row>
    <row r="187" spans="2:38" s="231" customFormat="1" ht="15" customHeight="1">
      <c r="B187" s="716" t="s">
        <v>2452</v>
      </c>
      <c r="C187" s="717">
        <v>500</v>
      </c>
      <c r="D187" s="718" t="s">
        <v>2260</v>
      </c>
      <c r="E187" s="719"/>
      <c r="F187" s="718"/>
      <c r="H187" s="720">
        <v>500</v>
      </c>
      <c r="I187" s="721" t="s">
        <v>2272</v>
      </c>
      <c r="J187" s="722">
        <v>0</v>
      </c>
      <c r="K187" s="722">
        <v>250</v>
      </c>
      <c r="L187" s="722">
        <v>500</v>
      </c>
      <c r="M187" s="723" t="s">
        <v>2257</v>
      </c>
      <c r="N187" s="717">
        <v>500</v>
      </c>
      <c r="O187" s="724">
        <v>45686</v>
      </c>
      <c r="P187" s="725"/>
      <c r="Q187" s="725"/>
      <c r="R187" s="725"/>
      <c r="S187" s="725"/>
      <c r="T187" s="725"/>
      <c r="U187" s="725"/>
      <c r="V187" s="725"/>
      <c r="W187" s="725"/>
      <c r="X187" s="725"/>
      <c r="Y187" s="725"/>
      <c r="Z187" s="725"/>
      <c r="AA187" s="725"/>
      <c r="AB187" s="725"/>
      <c r="AC187" s="725"/>
      <c r="AD187" s="725"/>
      <c r="AE187" s="725"/>
      <c r="AF187" s="725"/>
      <c r="AG187" s="725"/>
      <c r="AH187" s="725"/>
      <c r="AI187" s="725"/>
      <c r="AJ187" s="725"/>
      <c r="AK187" s="725">
        <v>0</v>
      </c>
      <c r="AL187" s="725">
        <v>500</v>
      </c>
    </row>
    <row r="188" spans="2:38" s="231" customFormat="1" ht="15" customHeight="1">
      <c r="B188" s="716" t="s">
        <v>2453</v>
      </c>
      <c r="C188" s="717">
        <v>90.040704799999986</v>
      </c>
      <c r="D188" s="718" t="s">
        <v>2260</v>
      </c>
      <c r="E188" s="719"/>
      <c r="F188" s="718"/>
      <c r="H188" s="720">
        <v>10.040704799999986</v>
      </c>
      <c r="I188" s="721">
        <v>0.12550880999999983</v>
      </c>
      <c r="J188" s="722">
        <v>80</v>
      </c>
      <c r="K188" s="722">
        <v>85.013568266666667</v>
      </c>
      <c r="L188" s="722">
        <v>90.040704799999986</v>
      </c>
      <c r="M188" s="723" t="s">
        <v>2256</v>
      </c>
      <c r="N188" s="717">
        <v>90.040704799999986</v>
      </c>
      <c r="O188" s="724">
        <v>45686</v>
      </c>
      <c r="P188" s="725"/>
      <c r="Q188" s="725"/>
      <c r="R188" s="725"/>
      <c r="S188" s="725">
        <v>85</v>
      </c>
      <c r="T188" s="725"/>
      <c r="U188" s="725"/>
      <c r="V188" s="725"/>
      <c r="W188" s="725"/>
      <c r="X188" s="725"/>
      <c r="Y188" s="725"/>
      <c r="Z188" s="725"/>
      <c r="AA188" s="725"/>
      <c r="AB188" s="725"/>
      <c r="AC188" s="725"/>
      <c r="AD188" s="725"/>
      <c r="AE188" s="725"/>
      <c r="AF188" s="725"/>
      <c r="AG188" s="725"/>
      <c r="AH188" s="725"/>
      <c r="AI188" s="725"/>
      <c r="AJ188" s="725">
        <v>80</v>
      </c>
      <c r="AK188" s="725">
        <v>90.040704799999986</v>
      </c>
      <c r="AL188" s="725"/>
    </row>
    <row r="189" spans="2:38" s="231" customFormat="1" ht="15" customHeight="1">
      <c r="B189" s="716" t="s">
        <v>2454</v>
      </c>
      <c r="C189" s="717">
        <v>120</v>
      </c>
      <c r="D189" s="718" t="s">
        <v>2260</v>
      </c>
      <c r="E189" s="719"/>
      <c r="F189" s="718"/>
      <c r="H189" s="720">
        <v>120</v>
      </c>
      <c r="I189" s="721" t="s">
        <v>2272</v>
      </c>
      <c r="J189" s="720">
        <v>0</v>
      </c>
      <c r="K189" s="720">
        <v>60</v>
      </c>
      <c r="L189" s="720">
        <v>120</v>
      </c>
      <c r="M189" s="723" t="s">
        <v>2257</v>
      </c>
      <c r="N189" s="717">
        <v>120</v>
      </c>
      <c r="O189" s="724">
        <v>45686</v>
      </c>
      <c r="P189" s="725"/>
      <c r="Q189" s="725"/>
      <c r="R189" s="725"/>
      <c r="S189" s="725"/>
      <c r="T189" s="725"/>
      <c r="U189" s="725"/>
      <c r="V189" s="725"/>
      <c r="W189" s="725"/>
      <c r="X189" s="725"/>
      <c r="Y189" s="725"/>
      <c r="Z189" s="725"/>
      <c r="AA189" s="725"/>
      <c r="AB189" s="725"/>
      <c r="AC189" s="725"/>
      <c r="AD189" s="725"/>
      <c r="AE189" s="725"/>
      <c r="AF189" s="725"/>
      <c r="AG189" s="725"/>
      <c r="AH189" s="725"/>
      <c r="AI189" s="725"/>
      <c r="AJ189" s="725"/>
      <c r="AK189" s="725">
        <v>0</v>
      </c>
      <c r="AL189" s="725">
        <v>120</v>
      </c>
    </row>
    <row r="190" spans="2:38" s="231" customFormat="1" ht="15" customHeight="1">
      <c r="B190" s="715" t="s">
        <v>2201</v>
      </c>
      <c r="C190" s="679"/>
      <c r="D190" s="679"/>
      <c r="E190" s="679"/>
      <c r="F190" s="679"/>
    </row>
    <row r="191" spans="2:38" s="231" customFormat="1" ht="15" customHeight="1">
      <c r="B191" s="716" t="s">
        <v>2455</v>
      </c>
      <c r="C191" s="717">
        <v>0.2</v>
      </c>
      <c r="D191" s="718" t="s">
        <v>2456</v>
      </c>
      <c r="E191" s="719" t="s">
        <v>2457</v>
      </c>
      <c r="F191" s="718"/>
      <c r="H191" s="720">
        <v>0.2</v>
      </c>
      <c r="I191" s="721" t="s">
        <v>2272</v>
      </c>
      <c r="J191" s="720">
        <v>0</v>
      </c>
      <c r="K191" s="720">
        <v>0.1</v>
      </c>
      <c r="L191" s="720">
        <v>0.2</v>
      </c>
      <c r="M191" s="723" t="s">
        <v>2257</v>
      </c>
      <c r="N191" s="717">
        <v>0.2</v>
      </c>
      <c r="O191" s="724">
        <v>45686</v>
      </c>
      <c r="P191" s="725"/>
      <c r="Q191" s="725"/>
      <c r="R191" s="725"/>
      <c r="S191" s="725"/>
      <c r="T191" s="725"/>
      <c r="U191" s="725"/>
      <c r="V191" s="725"/>
      <c r="W191" s="725"/>
      <c r="X191" s="725"/>
      <c r="Y191" s="725"/>
      <c r="Z191" s="725"/>
      <c r="AA191" s="725"/>
      <c r="AB191" s="725"/>
      <c r="AC191" s="725"/>
      <c r="AD191" s="725"/>
      <c r="AE191" s="725"/>
      <c r="AF191" s="725"/>
      <c r="AG191" s="725"/>
      <c r="AH191" s="725"/>
      <c r="AI191" s="725"/>
      <c r="AJ191" s="725"/>
      <c r="AK191" s="725">
        <v>0</v>
      </c>
      <c r="AL191" s="725">
        <v>0.2</v>
      </c>
    </row>
    <row r="192" spans="2:38" s="231" customFormat="1" ht="15" customHeight="1">
      <c r="B192" s="715" t="s">
        <v>2458</v>
      </c>
      <c r="C192" s="679"/>
      <c r="D192" s="679"/>
      <c r="E192" s="679"/>
      <c r="F192" s="679"/>
    </row>
    <row r="193" spans="2:39" s="231" customFormat="1" ht="15" customHeight="1">
      <c r="B193" s="716" t="s">
        <v>745</v>
      </c>
      <c r="C193" s="717">
        <v>80</v>
      </c>
      <c r="D193" s="718" t="s">
        <v>2459</v>
      </c>
      <c r="E193" s="719"/>
      <c r="F193" s="718" t="s">
        <v>2460</v>
      </c>
      <c r="H193" s="720">
        <v>16.28</v>
      </c>
      <c r="I193" s="721">
        <v>0.25549278091650973</v>
      </c>
      <c r="J193" s="722">
        <v>63.72</v>
      </c>
      <c r="K193" s="722">
        <v>71.812473791066665</v>
      </c>
      <c r="L193" s="722">
        <v>80</v>
      </c>
      <c r="M193" s="723" t="s">
        <v>2239</v>
      </c>
      <c r="N193" s="717">
        <v>80</v>
      </c>
      <c r="O193" s="724">
        <v>45686</v>
      </c>
      <c r="P193" s="725"/>
      <c r="Q193" s="725"/>
      <c r="R193" s="725"/>
      <c r="S193" s="725"/>
      <c r="T193" s="725">
        <v>80</v>
      </c>
      <c r="U193" s="725"/>
      <c r="V193" s="725"/>
      <c r="W193" s="725"/>
      <c r="X193" s="725"/>
      <c r="Y193" s="725"/>
      <c r="Z193" s="725"/>
      <c r="AA193" s="725"/>
      <c r="AB193" s="725"/>
      <c r="AC193" s="725"/>
      <c r="AD193" s="725"/>
      <c r="AE193" s="725"/>
      <c r="AF193" s="725"/>
      <c r="AG193" s="725"/>
      <c r="AH193" s="725"/>
      <c r="AI193" s="725"/>
      <c r="AJ193" s="725">
        <v>63.72</v>
      </c>
      <c r="AK193" s="725">
        <v>71.717421373199997</v>
      </c>
      <c r="AL193" s="725"/>
    </row>
    <row r="194" spans="2:39" s="231" customFormat="1" ht="15" customHeight="1">
      <c r="B194" s="716" t="s">
        <v>746</v>
      </c>
      <c r="C194" s="717">
        <v>0</v>
      </c>
      <c r="D194" s="718" t="s">
        <v>2459</v>
      </c>
      <c r="E194" s="719" t="s">
        <v>2461</v>
      </c>
      <c r="F194" s="718"/>
      <c r="H194" s="720">
        <v>0</v>
      </c>
      <c r="I194" s="721" t="s">
        <v>2272</v>
      </c>
      <c r="J194" s="722">
        <v>0</v>
      </c>
      <c r="K194" s="722">
        <v>0</v>
      </c>
      <c r="L194" s="722">
        <v>0</v>
      </c>
      <c r="M194" s="723" t="s">
        <v>2257</v>
      </c>
      <c r="N194" s="717">
        <v>0</v>
      </c>
      <c r="O194" s="724">
        <v>45686</v>
      </c>
      <c r="P194" s="725"/>
      <c r="Q194" s="725"/>
      <c r="R194" s="725"/>
      <c r="S194" s="725"/>
      <c r="T194" s="725"/>
      <c r="U194" s="725"/>
      <c r="V194" s="725"/>
      <c r="W194" s="725"/>
      <c r="X194" s="725"/>
      <c r="Y194" s="725"/>
      <c r="Z194" s="725"/>
      <c r="AA194" s="725"/>
      <c r="AB194" s="725"/>
      <c r="AC194" s="725"/>
      <c r="AD194" s="725"/>
      <c r="AE194" s="725"/>
      <c r="AF194" s="725"/>
      <c r="AG194" s="725"/>
      <c r="AH194" s="725"/>
      <c r="AI194" s="725"/>
      <c r="AJ194" s="725">
        <v>0</v>
      </c>
      <c r="AK194" s="725">
        <v>0</v>
      </c>
      <c r="AL194" s="725"/>
    </row>
    <row r="195" spans="2:39" s="231" customFormat="1" ht="15" customHeight="1">
      <c r="B195" s="716" t="s">
        <v>747</v>
      </c>
      <c r="C195" s="717">
        <v>2000</v>
      </c>
      <c r="D195" s="718" t="s">
        <v>923</v>
      </c>
      <c r="E195" s="719"/>
      <c r="F195" s="718"/>
      <c r="H195" s="720">
        <v>1780</v>
      </c>
      <c r="I195" s="721">
        <v>8.0909090909090917</v>
      </c>
      <c r="J195" s="722">
        <v>220</v>
      </c>
      <c r="K195" s="722">
        <v>822.53731273333335</v>
      </c>
      <c r="L195" s="722">
        <v>2000</v>
      </c>
      <c r="M195" s="723" t="s">
        <v>2239</v>
      </c>
      <c r="N195" s="717">
        <v>2000</v>
      </c>
      <c r="O195" s="724">
        <v>45686</v>
      </c>
      <c r="P195" s="725"/>
      <c r="Q195" s="725"/>
      <c r="R195" s="725"/>
      <c r="S195" s="725"/>
      <c r="T195" s="725">
        <v>2000</v>
      </c>
      <c r="U195" s="725"/>
      <c r="V195" s="725"/>
      <c r="W195" s="725"/>
      <c r="X195" s="725"/>
      <c r="Y195" s="725"/>
      <c r="Z195" s="725"/>
      <c r="AA195" s="725"/>
      <c r="AB195" s="725"/>
      <c r="AC195" s="725"/>
      <c r="AD195" s="725"/>
      <c r="AE195" s="725"/>
      <c r="AF195" s="725"/>
      <c r="AG195" s="725"/>
      <c r="AH195" s="725"/>
      <c r="AI195" s="725"/>
      <c r="AJ195" s="725">
        <v>220</v>
      </c>
      <c r="AK195" s="725">
        <v>247.61193819999997</v>
      </c>
      <c r="AL195" s="725"/>
    </row>
    <row r="196" spans="2:39" s="231" customFormat="1" ht="15" customHeight="1">
      <c r="B196" s="716" t="s">
        <v>568</v>
      </c>
      <c r="C196" s="717">
        <v>330</v>
      </c>
      <c r="D196" s="718" t="s">
        <v>923</v>
      </c>
      <c r="E196" s="719" t="s">
        <v>2462</v>
      </c>
      <c r="F196" s="718" t="s">
        <v>2439</v>
      </c>
      <c r="H196" s="720">
        <v>330</v>
      </c>
      <c r="I196" s="721" t="s">
        <v>2272</v>
      </c>
      <c r="J196" s="722">
        <v>0</v>
      </c>
      <c r="K196" s="722">
        <v>123.33333333333333</v>
      </c>
      <c r="L196" s="722">
        <v>330</v>
      </c>
      <c r="M196" s="723" t="s">
        <v>2250</v>
      </c>
      <c r="N196" s="717">
        <v>330</v>
      </c>
      <c r="O196" s="724">
        <v>45686</v>
      </c>
      <c r="P196" s="725"/>
      <c r="Q196" s="725"/>
      <c r="R196" s="725"/>
      <c r="S196" s="725"/>
      <c r="T196" s="725"/>
      <c r="U196" s="725"/>
      <c r="V196" s="725"/>
      <c r="W196" s="725"/>
      <c r="X196" s="725"/>
      <c r="Y196" s="725"/>
      <c r="Z196" s="725"/>
      <c r="AA196" s="725"/>
      <c r="AB196" s="725"/>
      <c r="AC196" s="725"/>
      <c r="AD196" s="725"/>
      <c r="AE196" s="725">
        <v>330</v>
      </c>
      <c r="AF196" s="725"/>
      <c r="AG196" s="725"/>
      <c r="AH196" s="725"/>
      <c r="AI196" s="725"/>
      <c r="AJ196" s="725"/>
      <c r="AK196" s="725">
        <v>0</v>
      </c>
      <c r="AL196" s="725">
        <v>40</v>
      </c>
    </row>
    <row r="197" spans="2:39" s="231" customFormat="1" ht="15" customHeight="1">
      <c r="B197" s="716" t="s">
        <v>748</v>
      </c>
      <c r="C197" s="717">
        <v>300</v>
      </c>
      <c r="D197" s="718" t="s">
        <v>2459</v>
      </c>
      <c r="E197" s="719"/>
      <c r="F197" s="718" t="s">
        <v>2460</v>
      </c>
      <c r="H197" s="720">
        <v>10</v>
      </c>
      <c r="I197" s="721">
        <v>3.4482758620689655E-2</v>
      </c>
      <c r="J197" s="722">
        <v>290</v>
      </c>
      <c r="K197" s="722">
        <v>295</v>
      </c>
      <c r="L197" s="722">
        <v>300</v>
      </c>
      <c r="M197" s="723" t="s">
        <v>2239</v>
      </c>
      <c r="N197" s="717">
        <v>300</v>
      </c>
      <c r="O197" s="724">
        <v>45686</v>
      </c>
      <c r="P197" s="725"/>
      <c r="Q197" s="725"/>
      <c r="R197" s="725"/>
      <c r="S197" s="725"/>
      <c r="T197" s="725">
        <v>300</v>
      </c>
      <c r="U197" s="725"/>
      <c r="V197" s="725"/>
      <c r="W197" s="725"/>
      <c r="X197" s="725"/>
      <c r="Y197" s="725"/>
      <c r="Z197" s="725"/>
      <c r="AA197" s="725"/>
      <c r="AB197" s="725"/>
      <c r="AC197" s="725"/>
      <c r="AD197" s="725"/>
      <c r="AE197" s="725"/>
      <c r="AF197" s="725"/>
      <c r="AG197" s="725"/>
      <c r="AH197" s="725"/>
      <c r="AI197" s="725"/>
      <c r="AJ197" s="725"/>
      <c r="AK197" s="725"/>
      <c r="AL197" s="725">
        <v>290</v>
      </c>
    </row>
    <row r="198" spans="2:39" s="231" customFormat="1" ht="15" customHeight="1">
      <c r="B198" s="716" t="s">
        <v>564</v>
      </c>
      <c r="C198" s="717">
        <v>460</v>
      </c>
      <c r="D198" s="718" t="s">
        <v>2459</v>
      </c>
      <c r="E198" s="719"/>
      <c r="F198" s="719" t="s">
        <v>2463</v>
      </c>
      <c r="H198" s="720">
        <v>380</v>
      </c>
      <c r="I198" s="721">
        <v>4.75</v>
      </c>
      <c r="J198" s="722">
        <v>80</v>
      </c>
      <c r="K198" s="722">
        <v>270</v>
      </c>
      <c r="L198" s="722">
        <v>460</v>
      </c>
      <c r="M198" s="723" t="s">
        <v>2239</v>
      </c>
      <c r="N198" s="717">
        <v>460</v>
      </c>
      <c r="O198" s="724">
        <v>45686</v>
      </c>
      <c r="P198" s="725"/>
      <c r="Q198" s="725"/>
      <c r="R198" s="725"/>
      <c r="S198" s="725"/>
      <c r="T198" s="725">
        <v>460</v>
      </c>
      <c r="U198" s="725"/>
      <c r="V198" s="725"/>
      <c r="W198" s="725"/>
      <c r="X198" s="725"/>
      <c r="Y198" s="725"/>
      <c r="Z198" s="725"/>
      <c r="AA198" s="725"/>
      <c r="AB198" s="725"/>
      <c r="AC198" s="725"/>
      <c r="AD198" s="725"/>
      <c r="AE198" s="725"/>
      <c r="AF198" s="725"/>
      <c r="AG198" s="725"/>
      <c r="AH198" s="725"/>
      <c r="AI198" s="725"/>
      <c r="AJ198" s="725"/>
      <c r="AK198" s="725"/>
      <c r="AL198" s="725">
        <v>80</v>
      </c>
    </row>
    <row r="199" spans="2:39" s="231" customFormat="1" ht="15" customHeight="1">
      <c r="B199" s="716" t="s">
        <v>569</v>
      </c>
      <c r="C199" s="717">
        <v>80</v>
      </c>
      <c r="D199" s="718" t="s">
        <v>2459</v>
      </c>
      <c r="E199" s="719"/>
      <c r="F199" s="718" t="s">
        <v>2464</v>
      </c>
      <c r="H199" s="720">
        <v>14.25</v>
      </c>
      <c r="I199" s="721">
        <v>0.17812500000000001</v>
      </c>
      <c r="J199" s="722">
        <v>80</v>
      </c>
      <c r="K199" s="722">
        <v>87.125</v>
      </c>
      <c r="L199" s="722">
        <v>94.25</v>
      </c>
      <c r="M199" s="723" t="s">
        <v>2239</v>
      </c>
      <c r="N199" s="717">
        <v>80</v>
      </c>
      <c r="O199" s="724">
        <v>45686</v>
      </c>
      <c r="P199" s="725"/>
      <c r="Q199" s="725"/>
      <c r="R199" s="725"/>
      <c r="S199" s="725"/>
      <c r="T199" s="725">
        <v>80</v>
      </c>
      <c r="U199" s="725"/>
      <c r="V199" s="725"/>
      <c r="W199" s="725"/>
      <c r="X199" s="725"/>
      <c r="Y199" s="725"/>
      <c r="Z199" s="725"/>
      <c r="AA199" s="725"/>
      <c r="AB199" s="725"/>
      <c r="AC199" s="725"/>
      <c r="AD199" s="725"/>
      <c r="AE199" s="725"/>
      <c r="AF199" s="725"/>
      <c r="AG199" s="725"/>
      <c r="AH199" s="725"/>
      <c r="AI199" s="725"/>
      <c r="AJ199" s="725"/>
      <c r="AK199" s="725"/>
      <c r="AL199" s="725">
        <v>94.25</v>
      </c>
      <c r="AM199" s="683" t="s">
        <v>2465</v>
      </c>
    </row>
    <row r="200" spans="2:39" s="231" customFormat="1" ht="15" customHeight="1">
      <c r="B200" s="716" t="s">
        <v>565</v>
      </c>
      <c r="C200" s="717">
        <v>800</v>
      </c>
      <c r="D200" s="718" t="s">
        <v>2459</v>
      </c>
      <c r="E200" s="719"/>
      <c r="F200" s="718" t="s">
        <v>2460</v>
      </c>
      <c r="H200" s="720">
        <v>0</v>
      </c>
      <c r="I200" s="721">
        <v>0</v>
      </c>
      <c r="J200" s="720">
        <v>800</v>
      </c>
      <c r="K200" s="720">
        <v>800</v>
      </c>
      <c r="L200" s="720">
        <v>800</v>
      </c>
      <c r="M200" s="723" t="s">
        <v>2239</v>
      </c>
      <c r="N200" s="717">
        <v>800</v>
      </c>
      <c r="O200" s="724">
        <v>45686</v>
      </c>
      <c r="P200" s="725"/>
      <c r="Q200" s="725"/>
      <c r="R200" s="725"/>
      <c r="S200" s="725"/>
      <c r="T200" s="725">
        <v>800</v>
      </c>
      <c r="U200" s="725"/>
      <c r="V200" s="725"/>
      <c r="W200" s="725"/>
      <c r="X200" s="725"/>
      <c r="Y200" s="725"/>
      <c r="Z200" s="725"/>
      <c r="AA200" s="725"/>
      <c r="AB200" s="725"/>
      <c r="AC200" s="725"/>
      <c r="AD200" s="725"/>
      <c r="AE200" s="725"/>
      <c r="AF200" s="725"/>
      <c r="AG200" s="725"/>
      <c r="AH200" s="725"/>
      <c r="AI200" s="725"/>
      <c r="AJ200" s="725"/>
      <c r="AK200" s="725"/>
      <c r="AL200" s="725"/>
    </row>
    <row r="201" spans="2:39" s="231" customFormat="1" ht="15" customHeight="1">
      <c r="B201" s="716" t="s">
        <v>566</v>
      </c>
      <c r="C201" s="717">
        <v>460</v>
      </c>
      <c r="D201" s="718" t="s">
        <v>2459</v>
      </c>
      <c r="E201" s="719"/>
      <c r="F201" s="718" t="s">
        <v>2460</v>
      </c>
      <c r="H201" s="720">
        <v>0</v>
      </c>
      <c r="I201" s="721">
        <v>0</v>
      </c>
      <c r="J201" s="720">
        <v>460</v>
      </c>
      <c r="K201" s="720">
        <v>460</v>
      </c>
      <c r="L201" s="720">
        <v>460</v>
      </c>
      <c r="M201" s="723" t="s">
        <v>2239</v>
      </c>
      <c r="N201" s="717">
        <v>460</v>
      </c>
      <c r="O201" s="724"/>
      <c r="P201" s="725"/>
      <c r="Q201" s="725"/>
      <c r="R201" s="725"/>
      <c r="S201" s="725"/>
      <c r="T201" s="725">
        <v>460</v>
      </c>
      <c r="U201" s="725"/>
      <c r="V201" s="725"/>
      <c r="W201" s="725"/>
      <c r="X201" s="725"/>
      <c r="Y201" s="725"/>
      <c r="Z201" s="725"/>
      <c r="AA201" s="725"/>
      <c r="AB201" s="725"/>
      <c r="AC201" s="725"/>
      <c r="AD201" s="725"/>
      <c r="AE201" s="725"/>
      <c r="AF201" s="725"/>
      <c r="AG201" s="725"/>
      <c r="AH201" s="725"/>
      <c r="AI201" s="725"/>
      <c r="AJ201" s="725"/>
      <c r="AK201" s="725"/>
      <c r="AL201" s="725"/>
    </row>
    <row r="202" spans="2:39" s="231" customFormat="1" ht="15" customHeight="1">
      <c r="B202" s="716" t="s">
        <v>567</v>
      </c>
      <c r="C202" s="717">
        <v>80</v>
      </c>
      <c r="D202" s="718" t="s">
        <v>2459</v>
      </c>
      <c r="E202" s="719"/>
      <c r="F202" s="718" t="s">
        <v>2460</v>
      </c>
      <c r="H202" s="720">
        <v>0</v>
      </c>
      <c r="I202" s="721">
        <v>0</v>
      </c>
      <c r="J202" s="720">
        <v>80</v>
      </c>
      <c r="K202" s="720">
        <v>80</v>
      </c>
      <c r="L202" s="720">
        <v>80</v>
      </c>
      <c r="M202" s="723" t="s">
        <v>2239</v>
      </c>
      <c r="N202" s="717">
        <v>80</v>
      </c>
      <c r="O202" s="724"/>
      <c r="P202" s="725"/>
      <c r="Q202" s="725"/>
      <c r="R202" s="725"/>
      <c r="S202" s="725"/>
      <c r="T202" s="725">
        <v>80</v>
      </c>
      <c r="U202" s="725"/>
      <c r="V202" s="725"/>
      <c r="W202" s="725"/>
      <c r="X202" s="725"/>
      <c r="Y202" s="725"/>
      <c r="Z202" s="725"/>
      <c r="AA202" s="725"/>
      <c r="AB202" s="725"/>
      <c r="AC202" s="725"/>
      <c r="AD202" s="725"/>
      <c r="AE202" s="725"/>
      <c r="AF202" s="725"/>
      <c r="AG202" s="725"/>
      <c r="AH202" s="725"/>
      <c r="AI202" s="725"/>
      <c r="AJ202" s="725"/>
      <c r="AK202" s="725"/>
      <c r="AL202" s="725"/>
    </row>
    <row r="203" spans="2:39" s="231" customFormat="1" ht="15" customHeight="1">
      <c r="B203" s="716" t="s">
        <v>570</v>
      </c>
      <c r="C203" s="717">
        <v>0.16799999999999998</v>
      </c>
      <c r="D203" s="718" t="s">
        <v>2466</v>
      </c>
      <c r="E203" s="719"/>
      <c r="F203" s="718" t="s">
        <v>2467</v>
      </c>
      <c r="H203" s="720">
        <v>0</v>
      </c>
      <c r="I203" s="721">
        <v>0</v>
      </c>
      <c r="J203" s="720">
        <v>0.16799999999999998</v>
      </c>
      <c r="K203" s="720">
        <v>0.16799999999999998</v>
      </c>
      <c r="L203" s="720">
        <v>0.16799999999999998</v>
      </c>
      <c r="M203" s="723" t="s">
        <v>2257</v>
      </c>
      <c r="N203" s="717">
        <v>0.16799999999999998</v>
      </c>
      <c r="O203" s="724"/>
      <c r="P203" s="725"/>
      <c r="Q203" s="725"/>
      <c r="R203" s="725"/>
      <c r="S203" s="725"/>
      <c r="T203" s="725"/>
      <c r="U203" s="725"/>
      <c r="V203" s="725"/>
      <c r="W203" s="725"/>
      <c r="X203" s="725"/>
      <c r="Y203" s="725"/>
      <c r="Z203" s="725"/>
      <c r="AA203" s="725"/>
      <c r="AB203" s="725"/>
      <c r="AC203" s="725"/>
      <c r="AD203" s="725"/>
      <c r="AE203" s="725"/>
      <c r="AF203" s="725"/>
      <c r="AG203" s="725"/>
      <c r="AH203" s="725"/>
      <c r="AI203" s="725"/>
      <c r="AJ203" s="725"/>
      <c r="AK203" s="725"/>
      <c r="AL203" s="717">
        <v>0.16799999999999998</v>
      </c>
    </row>
    <row r="204" spans="2:39" s="231" customFormat="1" ht="15" customHeight="1">
      <c r="B204" s="716" t="s">
        <v>2468</v>
      </c>
      <c r="C204" s="717">
        <v>324.14653727999996</v>
      </c>
      <c r="D204" s="718" t="s">
        <v>2469</v>
      </c>
      <c r="E204" s="719"/>
      <c r="F204" s="718"/>
      <c r="H204" s="720">
        <v>0</v>
      </c>
      <c r="I204" s="721">
        <v>0</v>
      </c>
      <c r="J204" s="720">
        <v>324.14653727999996</v>
      </c>
      <c r="K204" s="720">
        <v>324.14653727999996</v>
      </c>
      <c r="L204" s="720">
        <v>324.14653727999996</v>
      </c>
      <c r="M204" s="723" t="s">
        <v>2256</v>
      </c>
      <c r="N204" s="717">
        <v>324.14653727999996</v>
      </c>
      <c r="O204" s="724"/>
      <c r="P204" s="725"/>
      <c r="Q204" s="725"/>
      <c r="R204" s="725"/>
      <c r="S204" s="725"/>
      <c r="T204" s="725"/>
      <c r="U204" s="725"/>
      <c r="V204" s="725"/>
      <c r="W204" s="725"/>
      <c r="X204" s="725"/>
      <c r="Y204" s="725"/>
      <c r="Z204" s="725"/>
      <c r="AA204" s="725"/>
      <c r="AB204" s="725"/>
      <c r="AC204" s="725"/>
      <c r="AD204" s="725"/>
      <c r="AE204" s="725"/>
      <c r="AF204" s="725"/>
      <c r="AG204" s="725"/>
      <c r="AH204" s="725"/>
      <c r="AI204" s="725"/>
      <c r="AJ204" s="725"/>
      <c r="AK204" s="725">
        <v>324.14653727999996</v>
      </c>
      <c r="AL204" s="725"/>
    </row>
    <row r="205" spans="2:39" s="231" customFormat="1" ht="15" customHeight="1">
      <c r="B205" s="716" t="s">
        <v>588</v>
      </c>
      <c r="C205" s="717">
        <v>170.1</v>
      </c>
      <c r="D205" s="718" t="s">
        <v>2459</v>
      </c>
      <c r="E205" s="719"/>
      <c r="F205" s="718" t="s">
        <v>2470</v>
      </c>
      <c r="H205" s="720">
        <v>170.1</v>
      </c>
      <c r="I205" s="721" t="s">
        <v>2272</v>
      </c>
      <c r="J205" s="720">
        <v>0</v>
      </c>
      <c r="K205" s="720">
        <v>85.05</v>
      </c>
      <c r="L205" s="720">
        <v>170.1</v>
      </c>
      <c r="M205" s="723" t="s">
        <v>2254</v>
      </c>
      <c r="N205" s="717">
        <v>170.1</v>
      </c>
      <c r="O205" s="724">
        <v>45686</v>
      </c>
      <c r="P205" s="725"/>
      <c r="Q205" s="725"/>
      <c r="R205" s="725"/>
      <c r="S205" s="725"/>
      <c r="T205" s="725"/>
      <c r="U205" s="725"/>
      <c r="V205" s="725"/>
      <c r="W205" s="725"/>
      <c r="X205" s="725"/>
      <c r="Y205" s="725"/>
      <c r="Z205" s="725"/>
      <c r="AA205" s="725"/>
      <c r="AB205" s="725"/>
      <c r="AC205" s="725"/>
      <c r="AD205" s="725"/>
      <c r="AE205" s="725"/>
      <c r="AF205" s="725"/>
      <c r="AG205" s="725"/>
      <c r="AH205" s="725"/>
      <c r="AI205" s="725">
        <v>170.1</v>
      </c>
      <c r="AJ205" s="725"/>
      <c r="AK205" s="725">
        <v>0</v>
      </c>
      <c r="AL205" s="725"/>
    </row>
    <row r="206" spans="2:39" s="231" customFormat="1" ht="15" customHeight="1">
      <c r="B206" s="716" t="s">
        <v>586</v>
      </c>
      <c r="C206" s="717">
        <v>97.9</v>
      </c>
      <c r="D206" s="718" t="s">
        <v>2459</v>
      </c>
      <c r="E206" s="719"/>
      <c r="F206" s="718" t="s">
        <v>2470</v>
      </c>
      <c r="H206" s="720">
        <v>97.9</v>
      </c>
      <c r="I206" s="721" t="s">
        <v>2272</v>
      </c>
      <c r="J206" s="720">
        <v>0</v>
      </c>
      <c r="K206" s="720">
        <v>48.95</v>
      </c>
      <c r="L206" s="720">
        <v>97.9</v>
      </c>
      <c r="M206" s="723" t="s">
        <v>2254</v>
      </c>
      <c r="N206" s="717">
        <v>97.9</v>
      </c>
      <c r="O206" s="724">
        <v>45686</v>
      </c>
      <c r="P206" s="725"/>
      <c r="Q206" s="725"/>
      <c r="R206" s="725"/>
      <c r="S206" s="725"/>
      <c r="T206" s="725"/>
      <c r="U206" s="725"/>
      <c r="V206" s="725"/>
      <c r="W206" s="725"/>
      <c r="X206" s="725"/>
      <c r="Y206" s="725"/>
      <c r="Z206" s="725"/>
      <c r="AA206" s="725"/>
      <c r="AB206" s="725"/>
      <c r="AC206" s="725"/>
      <c r="AD206" s="725"/>
      <c r="AE206" s="725"/>
      <c r="AF206" s="725"/>
      <c r="AG206" s="725"/>
      <c r="AH206" s="725"/>
      <c r="AI206" s="725">
        <v>97.9</v>
      </c>
      <c r="AJ206" s="725"/>
      <c r="AK206" s="725">
        <v>0</v>
      </c>
      <c r="AL206" s="725"/>
    </row>
    <row r="207" spans="2:39" s="231" customFormat="1" ht="15" customHeight="1">
      <c r="B207" s="716" t="s">
        <v>587</v>
      </c>
      <c r="C207" s="735">
        <v>0</v>
      </c>
      <c r="D207" s="718" t="s">
        <v>2459</v>
      </c>
      <c r="E207" s="719"/>
      <c r="F207" s="718"/>
      <c r="H207" s="720"/>
      <c r="I207" s="736"/>
      <c r="J207" s="720"/>
      <c r="K207" s="720"/>
      <c r="L207" s="720"/>
      <c r="M207" s="723"/>
      <c r="N207" s="735"/>
      <c r="O207" s="724"/>
      <c r="P207" s="725"/>
      <c r="Q207" s="725"/>
      <c r="R207" s="725"/>
      <c r="S207" s="725"/>
      <c r="T207" s="725"/>
      <c r="U207" s="725"/>
      <c r="V207" s="725"/>
      <c r="W207" s="725"/>
      <c r="X207" s="725"/>
      <c r="Y207" s="725"/>
      <c r="Z207" s="725"/>
      <c r="AA207" s="725"/>
      <c r="AB207" s="725"/>
      <c r="AC207" s="725"/>
      <c r="AD207" s="725"/>
      <c r="AE207" s="725"/>
      <c r="AF207" s="725"/>
      <c r="AG207" s="725"/>
      <c r="AH207" s="725"/>
      <c r="AI207" s="725">
        <v>0</v>
      </c>
      <c r="AJ207" s="725"/>
      <c r="AK207" s="725"/>
      <c r="AL207" s="725"/>
    </row>
    <row r="208" spans="2:39" s="231" customFormat="1" ht="15" customHeight="1">
      <c r="B208" s="715" t="s">
        <v>2471</v>
      </c>
      <c r="C208" s="679"/>
      <c r="D208" s="679"/>
      <c r="E208" s="679"/>
      <c r="F208" s="679"/>
    </row>
    <row r="209" spans="2:38" s="231" customFormat="1" ht="15" customHeight="1">
      <c r="B209" s="716" t="s">
        <v>2472</v>
      </c>
      <c r="C209" s="717">
        <v>555.04544054794519</v>
      </c>
      <c r="D209" s="718" t="s">
        <v>2284</v>
      </c>
      <c r="E209" s="719"/>
      <c r="F209" s="718"/>
      <c r="H209" s="720">
        <v>61.894755616438317</v>
      </c>
      <c r="I209" s="721">
        <v>0.12550880999999992</v>
      </c>
      <c r="J209" s="722">
        <v>493.15068493150687</v>
      </c>
      <c r="K209" s="722">
        <v>516.06537515981734</v>
      </c>
      <c r="L209" s="722">
        <v>555.04544054794519</v>
      </c>
      <c r="M209" s="723" t="s">
        <v>2256</v>
      </c>
      <c r="N209" s="717">
        <v>555.04544054794519</v>
      </c>
      <c r="O209" s="724">
        <v>45686</v>
      </c>
      <c r="P209" s="725"/>
      <c r="Q209" s="725"/>
      <c r="R209" s="725"/>
      <c r="S209" s="725"/>
      <c r="T209" s="725"/>
      <c r="U209" s="725"/>
      <c r="V209" s="725"/>
      <c r="W209" s="725"/>
      <c r="X209" s="725"/>
      <c r="Y209" s="725"/>
      <c r="Z209" s="725"/>
      <c r="AA209" s="725"/>
      <c r="AB209" s="725"/>
      <c r="AC209" s="725"/>
      <c r="AD209" s="725"/>
      <c r="AE209" s="725"/>
      <c r="AF209" s="725"/>
      <c r="AG209" s="725"/>
      <c r="AH209" s="725"/>
      <c r="AI209" s="725"/>
      <c r="AJ209" s="725">
        <v>493.15068493150687</v>
      </c>
      <c r="AK209" s="725">
        <v>555.04544054794519</v>
      </c>
      <c r="AL209" s="725">
        <v>500</v>
      </c>
    </row>
    <row r="210" spans="2:38" s="231" customFormat="1" ht="15" customHeight="1">
      <c r="B210" s="716" t="s">
        <v>2473</v>
      </c>
      <c r="C210" s="717">
        <v>542.71109742465751</v>
      </c>
      <c r="D210" s="718" t="s">
        <v>2284</v>
      </c>
      <c r="E210" s="719"/>
      <c r="F210" s="718"/>
      <c r="H210" s="720">
        <v>60.519316602739707</v>
      </c>
      <c r="I210" s="721">
        <v>0.12550880999999997</v>
      </c>
      <c r="J210" s="722">
        <v>482.1917808219178</v>
      </c>
      <c r="K210" s="722">
        <v>512.45143912328763</v>
      </c>
      <c r="L210" s="722">
        <v>542.71109742465751</v>
      </c>
      <c r="M210" s="723" t="s">
        <v>2256</v>
      </c>
      <c r="N210" s="717">
        <v>542.71109742465751</v>
      </c>
      <c r="O210" s="724">
        <v>45686</v>
      </c>
      <c r="P210" s="725"/>
      <c r="Q210" s="725"/>
      <c r="R210" s="725"/>
      <c r="S210" s="725"/>
      <c r="T210" s="725"/>
      <c r="U210" s="725"/>
      <c r="V210" s="725"/>
      <c r="W210" s="725"/>
      <c r="X210" s="725"/>
      <c r="Y210" s="725"/>
      <c r="Z210" s="725"/>
      <c r="AA210" s="725"/>
      <c r="AB210" s="725"/>
      <c r="AC210" s="725"/>
      <c r="AD210" s="725"/>
      <c r="AE210" s="725"/>
      <c r="AF210" s="725"/>
      <c r="AG210" s="725"/>
      <c r="AH210" s="725"/>
      <c r="AI210" s="725"/>
      <c r="AJ210" s="725">
        <v>482.1917808219178</v>
      </c>
      <c r="AK210" s="725">
        <v>542.71109742465751</v>
      </c>
      <c r="AL210" s="725"/>
    </row>
    <row r="211" spans="2:38" s="231" customFormat="1" ht="15" customHeight="1">
      <c r="B211" s="716" t="s">
        <v>2474</v>
      </c>
      <c r="C211" s="717">
        <v>1.4631614529999999</v>
      </c>
      <c r="D211" s="718" t="s">
        <v>2344</v>
      </c>
      <c r="E211" s="719"/>
      <c r="F211" s="718"/>
      <c r="H211" s="720">
        <v>0.16316145299999985</v>
      </c>
      <c r="I211" s="721">
        <v>0.12550880999999989</v>
      </c>
      <c r="J211" s="722">
        <v>1.3</v>
      </c>
      <c r="K211" s="722">
        <v>1.3815807265</v>
      </c>
      <c r="L211" s="722">
        <v>1.4631614529999999</v>
      </c>
      <c r="M211" s="723" t="s">
        <v>2256</v>
      </c>
      <c r="N211" s="717">
        <v>1.4631614529999999</v>
      </c>
      <c r="O211" s="724">
        <v>45686</v>
      </c>
      <c r="P211" s="725"/>
      <c r="Q211" s="725"/>
      <c r="R211" s="725"/>
      <c r="S211" s="725"/>
      <c r="T211" s="725"/>
      <c r="U211" s="725"/>
      <c r="V211" s="725"/>
      <c r="W211" s="725"/>
      <c r="X211" s="725"/>
      <c r="Y211" s="725"/>
      <c r="Z211" s="725"/>
      <c r="AA211" s="725"/>
      <c r="AB211" s="725"/>
      <c r="AC211" s="725"/>
      <c r="AD211" s="725"/>
      <c r="AE211" s="725"/>
      <c r="AF211" s="725"/>
      <c r="AG211" s="725"/>
      <c r="AH211" s="725"/>
      <c r="AI211" s="725"/>
      <c r="AJ211" s="725">
        <v>1.3</v>
      </c>
      <c r="AK211" s="725">
        <v>1.4631614529999999</v>
      </c>
      <c r="AL211" s="725"/>
    </row>
    <row r="212" spans="2:38" s="231" customFormat="1" ht="15" customHeight="1">
      <c r="B212" s="716" t="s">
        <v>2475</v>
      </c>
      <c r="C212" s="717">
        <v>1.1255088099999999</v>
      </c>
      <c r="D212" s="718" t="s">
        <v>2344</v>
      </c>
      <c r="E212" s="719"/>
      <c r="F212" s="718"/>
      <c r="H212" s="720">
        <v>0.19999999999999996</v>
      </c>
      <c r="I212" s="721">
        <v>0.19999999999999996</v>
      </c>
      <c r="J212" s="722">
        <v>1</v>
      </c>
      <c r="K212" s="722">
        <v>1.1085029366666665</v>
      </c>
      <c r="L212" s="722">
        <v>1.2</v>
      </c>
      <c r="M212" s="723" t="s">
        <v>2256</v>
      </c>
      <c r="N212" s="717">
        <v>1.1255088099999999</v>
      </c>
      <c r="O212" s="724">
        <v>45686</v>
      </c>
      <c r="P212" s="725"/>
      <c r="Q212" s="725"/>
      <c r="R212" s="725"/>
      <c r="S212" s="725"/>
      <c r="T212" s="725"/>
      <c r="U212" s="725"/>
      <c r="V212" s="725"/>
      <c r="W212" s="725"/>
      <c r="X212" s="725"/>
      <c r="Y212" s="725"/>
      <c r="Z212" s="725"/>
      <c r="AA212" s="725"/>
      <c r="AB212" s="725"/>
      <c r="AC212" s="725"/>
      <c r="AD212" s="725"/>
      <c r="AE212" s="725"/>
      <c r="AF212" s="725"/>
      <c r="AG212" s="725"/>
      <c r="AH212" s="725"/>
      <c r="AI212" s="725"/>
      <c r="AJ212" s="725">
        <v>1</v>
      </c>
      <c r="AK212" s="725">
        <v>1.1255088099999999</v>
      </c>
      <c r="AL212" s="725">
        <v>1.2</v>
      </c>
    </row>
    <row r="213" spans="2:38" s="231" customFormat="1" ht="15" customHeight="1">
      <c r="B213" s="716" t="s">
        <v>2476</v>
      </c>
      <c r="C213" s="717">
        <v>441.98730968699994</v>
      </c>
      <c r="D213" s="718" t="s">
        <v>2284</v>
      </c>
      <c r="E213" s="719"/>
      <c r="F213" s="718"/>
      <c r="H213" s="720">
        <v>49.287309686999947</v>
      </c>
      <c r="I213" s="721">
        <v>0.12550880999999986</v>
      </c>
      <c r="J213" s="722">
        <v>392.7</v>
      </c>
      <c r="K213" s="722">
        <v>417.34365484349996</v>
      </c>
      <c r="L213" s="722">
        <v>441.98730968699994</v>
      </c>
      <c r="M213" s="723" t="s">
        <v>2256</v>
      </c>
      <c r="N213" s="717">
        <v>441.98730968699994</v>
      </c>
      <c r="O213" s="724">
        <v>45686</v>
      </c>
      <c r="P213" s="725"/>
      <c r="Q213" s="725"/>
      <c r="R213" s="725"/>
      <c r="S213" s="725"/>
      <c r="T213" s="725"/>
      <c r="U213" s="725"/>
      <c r="V213" s="725"/>
      <c r="W213" s="725"/>
      <c r="X213" s="725"/>
      <c r="Y213" s="725"/>
      <c r="Z213" s="725"/>
      <c r="AA213" s="725"/>
      <c r="AB213" s="725"/>
      <c r="AC213" s="725"/>
      <c r="AD213" s="725"/>
      <c r="AE213" s="725"/>
      <c r="AF213" s="725"/>
      <c r="AG213" s="725"/>
      <c r="AH213" s="725"/>
      <c r="AI213" s="725"/>
      <c r="AJ213" s="725">
        <v>392.7</v>
      </c>
      <c r="AK213" s="725">
        <v>441.98730968699994</v>
      </c>
      <c r="AL213" s="725"/>
    </row>
    <row r="214" spans="2:38" s="231" customFormat="1" ht="15" customHeight="1">
      <c r="B214" s="716" t="s">
        <v>2477</v>
      </c>
      <c r="C214" s="717">
        <v>568.26939816899994</v>
      </c>
      <c r="D214" s="718" t="s">
        <v>2284</v>
      </c>
      <c r="E214" s="719"/>
      <c r="F214" s="718"/>
      <c r="H214" s="720">
        <v>63.369398168999965</v>
      </c>
      <c r="I214" s="721">
        <v>0.12550880999999994</v>
      </c>
      <c r="J214" s="720">
        <v>504.9</v>
      </c>
      <c r="K214" s="720">
        <v>536.58469908450002</v>
      </c>
      <c r="L214" s="720">
        <v>568.26939816899994</v>
      </c>
      <c r="M214" s="723" t="s">
        <v>2256</v>
      </c>
      <c r="N214" s="717">
        <v>568.26939816899994</v>
      </c>
      <c r="O214" s="724">
        <v>45686</v>
      </c>
      <c r="P214" s="725"/>
      <c r="Q214" s="725"/>
      <c r="R214" s="725"/>
      <c r="S214" s="725"/>
      <c r="T214" s="725"/>
      <c r="U214" s="725"/>
      <c r="V214" s="725"/>
      <c r="W214" s="725"/>
      <c r="X214" s="725"/>
      <c r="Y214" s="725"/>
      <c r="Z214" s="725"/>
      <c r="AA214" s="725"/>
      <c r="AB214" s="725"/>
      <c r="AC214" s="725"/>
      <c r="AD214" s="725"/>
      <c r="AE214" s="725"/>
      <c r="AF214" s="725"/>
      <c r="AG214" s="725"/>
      <c r="AH214" s="725"/>
      <c r="AI214" s="725"/>
      <c r="AJ214" s="725">
        <v>504.9</v>
      </c>
      <c r="AK214" s="725">
        <v>568.26939816899994</v>
      </c>
      <c r="AL214" s="725"/>
    </row>
  </sheetData>
  <sheetProtection algorithmName="SHA-512" hashValue="SEKve+Zl1cCo4tV3sMle4P7tpnj57Mb6PV/DO7+tQSYuSAlMpY1LpBJ8NySqm1r8GYppq/jKPZ490zLJkDJQSA==" saltValue="860R/KgV0StJiNNEzG+FXA==" spinCount="100000" sheet="1" objects="1" scenarios="1" autoFilter="0"/>
  <phoneticPr fontId="50" type="noConversion"/>
  <conditionalFormatting sqref="C7:C9 C11:C19 C21:C24 C26 C28:C36 C38:C43 C45:C50 C52:C53 C55:C64 C66:C74 C76:C79 C81:C83 C85:C87 C89:C95 C97:C107 C109:C118 C120:C121 C123:C125 C127 C129:C139 C141:C150 C152:C153 C155:C178 C180:C189 C191 C193 C195:C206 C209:C214">
    <cfRule type="containsText" dxfId="6" priority="6" operator="containsText" text="NV">
      <formula>NOT(ISERROR(SEARCH("NV",C7)))</formula>
    </cfRule>
  </conditionalFormatting>
  <conditionalFormatting sqref="M6:O9 M11:O26 O27 M28:O43 M45:O74 M76:O83 M85:O87 M89:O95 M97:O118 M120:O121 M123:O125 M127:O127 M129:O214">
    <cfRule type="containsText" dxfId="5" priority="3" operator="containsText" text="Average">
      <formula>NOT(ISERROR(SEARCH("Average",M6)))</formula>
    </cfRule>
  </conditionalFormatting>
  <conditionalFormatting sqref="N3 C7:C9 N7:N9 C11:C19 N11:N19 C21:C24 N21:N24 C26 N26 C28:C36 N28:N36 C38:C43 N38:N43 C45:C50 N45:N50 C52:C53 N52:N53 C55:C64 N55:N64 C66:C74 N66:N74 C76:C79 N76:N79 C81:C83 N81:N83 C85:C87 N85:N87 C89:C95 N89:N95 C97:C107 N97:N107 C109:C118 N109:N118 C120:C121 N120:N121 C123:C125 N123:N125 C127 N127 C129:C139 N129:N150 C141:C150 C152:C153 N152:N153 C155:C178 N155:N178 C180:C189 N180:N189 C191 N191 C193 N193:N207 C195:C206 C209:C214 N209:N214">
    <cfRule type="cellIs" dxfId="4" priority="5" operator="equal">
      <formula>0</formula>
    </cfRule>
  </conditionalFormatting>
  <conditionalFormatting sqref="AL203">
    <cfRule type="cellIs" dxfId="3" priority="1" operator="equal">
      <formula>0</formula>
    </cfRule>
    <cfRule type="containsText" dxfId="2" priority="2" operator="containsText" text="NV">
      <formula>NOT(ISERROR(SEARCH("NV",AL203)))</formula>
    </cfRule>
  </conditionalFormatting>
  <dataValidations count="1">
    <dataValidation type="list" allowBlank="1" showInputMessage="1" showErrorMessage="1" sqref="M28:M36 M120:M121 M97:M118 M89:M95 M81:M83 M21:M26 M45:M74 M7:M9 M76:M79 M123:M125 M11:M19 M38:M43 M152:M178 M85:M87 M180:M214 M127 M129:M150" xr:uid="{A98F2D44-CCF3-4A5D-813C-6396E7D22FDE}">
      <formula1>Rates_headings</formula1>
    </dataValidation>
  </dataValidations>
  <hyperlinks>
    <hyperlink ref="B3" location="RCE_Summary" display="RCE Summary" xr:uid="{071F1B22-55D6-41FC-8742-85DBD6B0738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6AA5A-8202-40E9-8EB5-13D8E63085DA}">
  <sheetPr codeName="Sheet19">
    <tabColor theme="5" tint="0.39997558519241921"/>
  </sheetPr>
  <dimension ref="B2:AM132"/>
  <sheetViews>
    <sheetView showGridLines="0" zoomScaleNormal="100" workbookViewId="0">
      <pane ySplit="3" topLeftCell="A4" activePane="bottomLeft" state="frozen"/>
      <selection pane="bottomLeft"/>
    </sheetView>
  </sheetViews>
  <sheetFormatPr defaultColWidth="8.7109375" defaultRowHeight="12.75"/>
  <cols>
    <col min="1" max="1" width="4.7109375" style="231" customWidth="1"/>
    <col min="2" max="2" width="83.28515625" style="231" customWidth="1"/>
    <col min="3" max="4" width="8.7109375" style="231"/>
    <col min="5" max="11" width="8.5703125" style="231" customWidth="1"/>
    <col min="12" max="12" width="9.5703125" style="231" customWidth="1"/>
    <col min="13" max="16384" width="8.7109375" style="231"/>
  </cols>
  <sheetData>
    <row r="2" spans="2:10">
      <c r="B2" s="737" t="str">
        <f>Name_main</f>
        <v>Rehabilitation Cost Estimate Tool - Mining New South Wales</v>
      </c>
      <c r="C2" s="259" t="s">
        <v>1</v>
      </c>
      <c r="D2" s="774"/>
    </row>
    <row r="3" spans="2:10" s="738" customFormat="1" ht="5.0999999999999996" customHeight="1">
      <c r="B3" s="16"/>
      <c r="C3" s="16"/>
      <c r="D3" s="16"/>
      <c r="E3" s="16"/>
      <c r="F3" s="16"/>
      <c r="G3" s="16"/>
      <c r="H3" s="16"/>
      <c r="I3" s="16"/>
    </row>
    <row r="4" spans="2:10" ht="15">
      <c r="B4" s="739" t="s">
        <v>2266</v>
      </c>
      <c r="C4" s="740"/>
      <c r="D4" s="741"/>
      <c r="E4" s="738"/>
      <c r="F4" s="738"/>
    </row>
    <row r="5" spans="2:10">
      <c r="B5" s="742" t="s">
        <v>55</v>
      </c>
      <c r="C5" s="742" t="s">
        <v>353</v>
      </c>
      <c r="D5" s="742"/>
      <c r="E5" s="738"/>
      <c r="F5" s="738"/>
    </row>
    <row r="6" spans="2:10" ht="15.75">
      <c r="B6" s="743" t="s">
        <v>2478</v>
      </c>
      <c r="C6" s="18" t="s">
        <v>2479</v>
      </c>
      <c r="D6" s="29">
        <v>60</v>
      </c>
    </row>
    <row r="8" spans="2:10" ht="15">
      <c r="B8" s="739" t="s">
        <v>2480</v>
      </c>
      <c r="C8" s="740"/>
      <c r="D8" s="741"/>
      <c r="E8" s="738"/>
      <c r="F8" s="738"/>
    </row>
    <row r="9" spans="2:10">
      <c r="B9" s="742" t="s">
        <v>55</v>
      </c>
      <c r="C9" s="742" t="s">
        <v>353</v>
      </c>
      <c r="D9" s="742"/>
      <c r="E9" s="738"/>
      <c r="F9" s="738"/>
    </row>
    <row r="10" spans="2:10" ht="15.75">
      <c r="B10" s="743" t="s">
        <v>2478</v>
      </c>
      <c r="C10" s="18" t="s">
        <v>2479</v>
      </c>
      <c r="D10" s="29">
        <v>60</v>
      </c>
    </row>
    <row r="11" spans="2:10" ht="15" customHeight="1">
      <c r="B11" s="248" t="s">
        <v>2481</v>
      </c>
      <c r="C11" s="744" t="s">
        <v>2482</v>
      </c>
      <c r="D11" s="29">
        <v>100</v>
      </c>
    </row>
    <row r="12" spans="2:10" ht="15" customHeight="1">
      <c r="B12" s="248" t="s">
        <v>2483</v>
      </c>
      <c r="C12" s="744" t="s">
        <v>2482</v>
      </c>
      <c r="D12" s="29">
        <v>66.666666666666671</v>
      </c>
    </row>
    <row r="13" spans="2:10" ht="15">
      <c r="B13" s="248" t="s">
        <v>2484</v>
      </c>
      <c r="C13" s="745" t="s">
        <v>2482</v>
      </c>
      <c r="D13" s="29">
        <v>50</v>
      </c>
    </row>
    <row r="14" spans="2:10" ht="15" customHeight="1">
      <c r="B14" s="248" t="s">
        <v>2485</v>
      </c>
      <c r="C14" s="744" t="s">
        <v>219</v>
      </c>
      <c r="D14" s="29">
        <v>8</v>
      </c>
      <c r="E14" s="26" t="s">
        <v>2486</v>
      </c>
      <c r="J14" s="746" t="s">
        <v>2487</v>
      </c>
    </row>
    <row r="15" spans="2:10" ht="15" customHeight="1">
      <c r="B15" s="248" t="s">
        <v>2488</v>
      </c>
      <c r="C15" s="745" t="s">
        <v>2479</v>
      </c>
      <c r="D15" s="29">
        <v>70</v>
      </c>
      <c r="E15" s="26" t="s">
        <v>2489</v>
      </c>
      <c r="F15" s="747"/>
    </row>
    <row r="17" spans="2:16" s="750" customFormat="1" ht="18" customHeight="1">
      <c r="B17" s="748" t="s">
        <v>2490</v>
      </c>
      <c r="C17" s="749"/>
      <c r="D17" s="749"/>
      <c r="E17" s="749"/>
      <c r="F17" s="749"/>
      <c r="G17" s="749"/>
      <c r="H17" s="749"/>
      <c r="I17" s="749"/>
      <c r="J17" s="749"/>
      <c r="K17" s="749"/>
      <c r="L17" s="749"/>
      <c r="M17" s="749"/>
      <c r="N17" s="749"/>
      <c r="O17" s="749"/>
    </row>
    <row r="18" spans="2:16" s="753" customFormat="1" ht="15">
      <c r="B18" s="751" t="s">
        <v>2491</v>
      </c>
      <c r="C18" s="752">
        <v>1</v>
      </c>
      <c r="D18" s="752">
        <v>1</v>
      </c>
      <c r="E18" s="752">
        <v>1</v>
      </c>
      <c r="F18" s="752">
        <v>1</v>
      </c>
      <c r="G18" s="752">
        <v>1</v>
      </c>
      <c r="H18" s="752">
        <v>1</v>
      </c>
      <c r="I18" s="752">
        <v>1</v>
      </c>
      <c r="J18" s="752">
        <v>2</v>
      </c>
      <c r="K18" s="752">
        <v>2</v>
      </c>
      <c r="L18" s="752">
        <v>3</v>
      </c>
      <c r="M18" s="752">
        <v>3</v>
      </c>
      <c r="N18" s="752">
        <v>3</v>
      </c>
      <c r="O18" s="752">
        <v>4</v>
      </c>
    </row>
    <row r="19" spans="2:16" s="753" customFormat="1">
      <c r="B19" s="751" t="s">
        <v>2492</v>
      </c>
      <c r="C19" s="754">
        <v>20</v>
      </c>
      <c r="D19" s="754">
        <v>50</v>
      </c>
      <c r="E19" s="754">
        <v>75</v>
      </c>
      <c r="F19" s="754">
        <v>100</v>
      </c>
      <c r="G19" s="754">
        <v>125</v>
      </c>
      <c r="H19" s="754">
        <v>150</v>
      </c>
      <c r="I19" s="754">
        <v>200</v>
      </c>
      <c r="J19" s="754">
        <v>250</v>
      </c>
      <c r="K19" s="754">
        <v>300</v>
      </c>
      <c r="L19" s="754">
        <v>350</v>
      </c>
      <c r="M19" s="754">
        <v>400</v>
      </c>
      <c r="N19" s="754">
        <v>450</v>
      </c>
      <c r="O19" s="754">
        <v>500</v>
      </c>
    </row>
    <row r="20" spans="2:16" s="755" customFormat="1" ht="18" customHeight="1">
      <c r="B20" s="743" t="s">
        <v>867</v>
      </c>
      <c r="C20" s="754">
        <v>430</v>
      </c>
      <c r="D20" s="754">
        <v>195.75052015680001</v>
      </c>
      <c r="E20" s="754">
        <v>150.30843512039999</v>
      </c>
      <c r="F20" s="754">
        <v>104.86635008399999</v>
      </c>
      <c r="G20" s="754" t="s">
        <v>1489</v>
      </c>
      <c r="H20" s="754" t="s">
        <v>1489</v>
      </c>
      <c r="I20" s="754" t="s">
        <v>1489</v>
      </c>
      <c r="J20" s="754" t="s">
        <v>1489</v>
      </c>
      <c r="K20" s="754" t="s">
        <v>1489</v>
      </c>
      <c r="L20" s="754" t="s">
        <v>1489</v>
      </c>
      <c r="M20" s="754" t="s">
        <v>1489</v>
      </c>
      <c r="N20" s="754" t="s">
        <v>1489</v>
      </c>
      <c r="O20" s="754" t="s">
        <v>1489</v>
      </c>
    </row>
    <row r="21" spans="2:16" s="755" customFormat="1" ht="18" customHeight="1">
      <c r="B21" s="743" t="s">
        <v>1472</v>
      </c>
      <c r="C21" s="754">
        <v>582.59083380000004</v>
      </c>
      <c r="D21" s="754">
        <v>349.55450028000001</v>
      </c>
      <c r="E21" s="754">
        <v>262.16587521000002</v>
      </c>
      <c r="F21" s="754">
        <v>174.77725014000001</v>
      </c>
      <c r="G21" s="754" t="s">
        <v>1489</v>
      </c>
      <c r="H21" s="754" t="s">
        <v>1489</v>
      </c>
      <c r="I21" s="754" t="s">
        <v>1489</v>
      </c>
      <c r="J21" s="754" t="s">
        <v>1489</v>
      </c>
      <c r="K21" s="754" t="s">
        <v>1489</v>
      </c>
      <c r="L21" s="754" t="s">
        <v>1489</v>
      </c>
      <c r="M21" s="754" t="s">
        <v>1489</v>
      </c>
      <c r="N21" s="754" t="s">
        <v>1489</v>
      </c>
      <c r="O21" s="754" t="s">
        <v>1489</v>
      </c>
    </row>
    <row r="22" spans="2:16" s="755" customFormat="1" ht="18" customHeight="1">
      <c r="B22" s="743" t="s">
        <v>627</v>
      </c>
      <c r="C22" s="754">
        <v>815.62716732000013</v>
      </c>
      <c r="D22" s="754">
        <v>442.76903368799998</v>
      </c>
      <c r="E22" s="754">
        <v>317.51200442099997</v>
      </c>
      <c r="F22" s="754">
        <v>192.25497515399999</v>
      </c>
      <c r="G22" s="754">
        <v>130.50034677120001</v>
      </c>
      <c r="H22" s="754">
        <v>97.098472300000012</v>
      </c>
      <c r="I22" s="754">
        <v>69.910900056000003</v>
      </c>
      <c r="J22" s="754" t="s">
        <v>1489</v>
      </c>
      <c r="K22" s="754" t="s">
        <v>1489</v>
      </c>
      <c r="L22" s="754" t="s">
        <v>1489</v>
      </c>
      <c r="M22" s="754" t="s">
        <v>1489</v>
      </c>
      <c r="N22" s="754" t="s">
        <v>1489</v>
      </c>
      <c r="O22" s="754" t="s">
        <v>1489</v>
      </c>
    </row>
    <row r="23" spans="2:16" s="755" customFormat="1" ht="18" customHeight="1">
      <c r="B23" s="743" t="s">
        <v>1474</v>
      </c>
      <c r="C23" s="754">
        <v>1165.1816676000001</v>
      </c>
      <c r="D23" s="754">
        <v>652.5017338560001</v>
      </c>
      <c r="E23" s="754">
        <v>483.5503920540001</v>
      </c>
      <c r="F23" s="754">
        <v>314.59905025200004</v>
      </c>
      <c r="G23" s="754">
        <v>223.71488017920001</v>
      </c>
      <c r="H23" s="754">
        <v>194.19694460000002</v>
      </c>
      <c r="I23" s="754">
        <v>139.82180011200001</v>
      </c>
      <c r="J23" s="754">
        <v>298.86909773940005</v>
      </c>
      <c r="K23" s="754">
        <v>201.34339216128001</v>
      </c>
      <c r="L23" s="754">
        <v>190.15764815232001</v>
      </c>
      <c r="M23" s="754">
        <v>178.97190414336001</v>
      </c>
      <c r="N23" s="754">
        <v>167.78616013440001</v>
      </c>
      <c r="O23" s="754" t="s">
        <v>1489</v>
      </c>
    </row>
    <row r="24" spans="2:16" s="755" customFormat="1" ht="18" customHeight="1">
      <c r="B24" s="743" t="s">
        <v>1476</v>
      </c>
      <c r="C24" s="754">
        <v>1631.2543346400003</v>
      </c>
      <c r="D24" s="754">
        <v>885.53806737599996</v>
      </c>
      <c r="E24" s="754">
        <v>661.2405963629999</v>
      </c>
      <c r="F24" s="754">
        <v>436.94312534999995</v>
      </c>
      <c r="G24" s="754">
        <v>372.85813363200003</v>
      </c>
      <c r="H24" s="754">
        <v>318.48298914400004</v>
      </c>
      <c r="I24" s="754">
        <v>244.68815019600004</v>
      </c>
      <c r="J24" s="754">
        <v>415.09596908249995</v>
      </c>
      <c r="K24" s="754">
        <v>393.24881281499995</v>
      </c>
      <c r="L24" s="754">
        <v>371.40165654749995</v>
      </c>
      <c r="M24" s="754">
        <v>349.55450027999996</v>
      </c>
      <c r="N24" s="754">
        <v>327.70734401249996</v>
      </c>
      <c r="O24" s="754">
        <v>354.21522695039999</v>
      </c>
    </row>
    <row r="25" spans="2:16" s="755" customFormat="1" ht="18" customHeight="1">
      <c r="B25" s="743" t="s">
        <v>1478</v>
      </c>
      <c r="C25" s="754">
        <v>2796.4360022400001</v>
      </c>
      <c r="D25" s="754">
        <v>1398.2180011200001</v>
      </c>
      <c r="E25" s="754">
        <v>1048.6635008400001</v>
      </c>
      <c r="F25" s="754">
        <v>699.10900056000003</v>
      </c>
      <c r="G25" s="754">
        <v>559.28720044800002</v>
      </c>
      <c r="H25" s="754">
        <v>466.07266704</v>
      </c>
      <c r="I25" s="754">
        <v>349.55450028000001</v>
      </c>
      <c r="J25" s="754">
        <v>664.15355053199994</v>
      </c>
      <c r="K25" s="754">
        <v>629.19810050400008</v>
      </c>
      <c r="L25" s="754">
        <v>594.24265047599999</v>
      </c>
      <c r="M25" s="754">
        <v>559.28720044800002</v>
      </c>
      <c r="N25" s="754">
        <v>524.33175042000005</v>
      </c>
      <c r="O25" s="754">
        <v>531.32284042560002</v>
      </c>
    </row>
    <row r="26" spans="2:16" s="750" customFormat="1" ht="18" customHeight="1">
      <c r="B26" s="756"/>
      <c r="C26" s="757"/>
      <c r="D26" s="757"/>
      <c r="E26" s="757"/>
      <c r="F26" s="757"/>
      <c r="G26" s="757"/>
      <c r="H26" s="758"/>
      <c r="I26" s="758"/>
      <c r="J26" s="758"/>
      <c r="K26" s="758"/>
      <c r="L26" s="758"/>
      <c r="M26" s="758"/>
      <c r="N26" s="758"/>
      <c r="O26" s="758"/>
      <c r="P26" s="758"/>
    </row>
    <row r="27" spans="2:16" s="750" customFormat="1" ht="36">
      <c r="B27" s="759" t="s">
        <v>2493</v>
      </c>
      <c r="C27" s="742" t="s">
        <v>2494</v>
      </c>
      <c r="D27" s="742" t="s">
        <v>2495</v>
      </c>
      <c r="E27" s="742" t="s">
        <v>2496</v>
      </c>
      <c r="F27" s="742" t="s">
        <v>2497</v>
      </c>
      <c r="G27" s="742" t="s">
        <v>2498</v>
      </c>
      <c r="H27" s="742" t="s">
        <v>2499</v>
      </c>
      <c r="I27" s="742" t="s">
        <v>2500</v>
      </c>
      <c r="J27" s="742" t="s">
        <v>2501</v>
      </c>
      <c r="K27" s="742" t="s">
        <v>2502</v>
      </c>
      <c r="L27" s="742" t="s">
        <v>2503</v>
      </c>
      <c r="M27" s="742" t="s">
        <v>2504</v>
      </c>
      <c r="N27" s="742" t="s">
        <v>2505</v>
      </c>
      <c r="O27" s="742" t="s">
        <v>2506</v>
      </c>
      <c r="P27" s="742" t="s">
        <v>2507</v>
      </c>
    </row>
    <row r="28" spans="2:16" s="750" customFormat="1" ht="18" customHeight="1">
      <c r="B28" s="743" t="s">
        <v>867</v>
      </c>
      <c r="C28" s="760">
        <v>430</v>
      </c>
      <c r="D28" s="760">
        <v>430</v>
      </c>
      <c r="E28" s="760">
        <v>195.75052015680001</v>
      </c>
      <c r="F28" s="760">
        <v>173.02947763859999</v>
      </c>
      <c r="G28" s="760">
        <v>127.5873926022</v>
      </c>
      <c r="H28" s="760" t="s">
        <v>1489</v>
      </c>
      <c r="I28" s="760" t="s">
        <v>1489</v>
      </c>
      <c r="J28" s="760" t="s">
        <v>1489</v>
      </c>
      <c r="K28" s="760" t="s">
        <v>1489</v>
      </c>
      <c r="L28" s="760" t="s">
        <v>1489</v>
      </c>
      <c r="M28" s="760" t="s">
        <v>1489</v>
      </c>
      <c r="N28" s="760" t="s">
        <v>1489</v>
      </c>
      <c r="O28" s="760" t="s">
        <v>1489</v>
      </c>
      <c r="P28" s="760" t="s">
        <v>1489</v>
      </c>
    </row>
    <row r="29" spans="2:16" s="750" customFormat="1" ht="18" customHeight="1">
      <c r="B29" s="743" t="s">
        <v>1472</v>
      </c>
      <c r="C29" s="760">
        <v>582.59083380000004</v>
      </c>
      <c r="D29" s="760">
        <v>582.59083380000004</v>
      </c>
      <c r="E29" s="760">
        <v>349.55450028000001</v>
      </c>
      <c r="F29" s="760">
        <v>305.86018774500002</v>
      </c>
      <c r="G29" s="760">
        <v>218.47156267500003</v>
      </c>
      <c r="H29" s="760" t="s">
        <v>1489</v>
      </c>
      <c r="I29" s="760" t="s">
        <v>1489</v>
      </c>
      <c r="J29" s="760" t="s">
        <v>1489</v>
      </c>
      <c r="K29" s="760" t="s">
        <v>1489</v>
      </c>
      <c r="L29" s="760" t="s">
        <v>1489</v>
      </c>
      <c r="M29" s="760" t="s">
        <v>1489</v>
      </c>
      <c r="N29" s="760" t="s">
        <v>1489</v>
      </c>
      <c r="O29" s="760" t="s">
        <v>1489</v>
      </c>
      <c r="P29" s="760" t="s">
        <v>1489</v>
      </c>
    </row>
    <row r="30" spans="2:16" s="750" customFormat="1" ht="18" customHeight="1">
      <c r="B30" s="743" t="s">
        <v>627</v>
      </c>
      <c r="C30" s="760">
        <v>815.62716732000013</v>
      </c>
      <c r="D30" s="760">
        <v>815.62716732000013</v>
      </c>
      <c r="E30" s="760">
        <v>442.76903368799998</v>
      </c>
      <c r="F30" s="760">
        <v>380.14051905449998</v>
      </c>
      <c r="G30" s="760">
        <v>254.88348978749997</v>
      </c>
      <c r="H30" s="760">
        <v>161.3776609626</v>
      </c>
      <c r="I30" s="760">
        <v>113.79940953560001</v>
      </c>
      <c r="J30" s="760">
        <v>83.504686178000014</v>
      </c>
      <c r="K30" s="760" t="s">
        <v>1489</v>
      </c>
      <c r="L30" s="760" t="s">
        <v>1489</v>
      </c>
      <c r="M30" s="760" t="s">
        <v>1489</v>
      </c>
      <c r="N30" s="760" t="s">
        <v>1489</v>
      </c>
      <c r="O30" s="760" t="s">
        <v>1489</v>
      </c>
      <c r="P30" s="760" t="s">
        <v>1489</v>
      </c>
    </row>
    <row r="31" spans="2:16" s="750" customFormat="1" ht="18" customHeight="1">
      <c r="B31" s="743" t="s">
        <v>1474</v>
      </c>
      <c r="C31" s="760">
        <v>1165.1816676000001</v>
      </c>
      <c r="D31" s="760">
        <v>1165.1816676000001</v>
      </c>
      <c r="E31" s="760">
        <v>652.5017338560001</v>
      </c>
      <c r="F31" s="760">
        <v>568.02606295500004</v>
      </c>
      <c r="G31" s="760">
        <v>399.07472115300004</v>
      </c>
      <c r="H31" s="760">
        <v>269.15696521560005</v>
      </c>
      <c r="I31" s="760">
        <v>208.95591238960003</v>
      </c>
      <c r="J31" s="760">
        <v>167.00937235600003</v>
      </c>
      <c r="K31" s="760">
        <v>219.34544892570003</v>
      </c>
      <c r="L31" s="760">
        <v>250.10624495034003</v>
      </c>
      <c r="M31" s="760">
        <v>195.75052015680001</v>
      </c>
      <c r="N31" s="760">
        <v>184.56477614784001</v>
      </c>
      <c r="O31" s="760">
        <v>173.37903213888001</v>
      </c>
      <c r="P31" s="760" t="s">
        <v>1489</v>
      </c>
    </row>
    <row r="32" spans="2:16" s="750" customFormat="1" ht="18" customHeight="1">
      <c r="B32" s="743" t="s">
        <v>1476</v>
      </c>
      <c r="C32" s="760">
        <v>1631.2543346400003</v>
      </c>
      <c r="D32" s="760">
        <v>1631.2543346400003</v>
      </c>
      <c r="E32" s="760">
        <v>885.53806737599996</v>
      </c>
      <c r="F32" s="760">
        <v>773.38933186949998</v>
      </c>
      <c r="G32" s="760">
        <v>549.09186085649992</v>
      </c>
      <c r="H32" s="760">
        <v>404.90062949100002</v>
      </c>
      <c r="I32" s="760">
        <v>345.67056138800001</v>
      </c>
      <c r="J32" s="760">
        <v>281.58556967000004</v>
      </c>
      <c r="K32" s="760">
        <v>329.89205963924996</v>
      </c>
      <c r="L32" s="760">
        <v>404.17239094874992</v>
      </c>
      <c r="M32" s="760">
        <v>382.32523468124998</v>
      </c>
      <c r="N32" s="760">
        <v>360.47807841374993</v>
      </c>
      <c r="O32" s="760">
        <v>338.63092214624999</v>
      </c>
      <c r="P32" s="760">
        <v>340.96128548144998</v>
      </c>
    </row>
    <row r="33" spans="2:16" s="750" customFormat="1" ht="18" customHeight="1">
      <c r="B33" s="743" t="s">
        <v>1478</v>
      </c>
      <c r="C33" s="760">
        <v>2796.4360022400001</v>
      </c>
      <c r="D33" s="760">
        <v>2796.4360022400001</v>
      </c>
      <c r="E33" s="760">
        <v>1398.2180011200001</v>
      </c>
      <c r="F33" s="760">
        <v>1223.4407509800001</v>
      </c>
      <c r="G33" s="760">
        <v>873.88625070000012</v>
      </c>
      <c r="H33" s="760">
        <v>629.19810050399997</v>
      </c>
      <c r="I33" s="760">
        <v>512.67993374399998</v>
      </c>
      <c r="J33" s="760">
        <v>407.81358366000001</v>
      </c>
      <c r="K33" s="760">
        <v>506.85402540600001</v>
      </c>
      <c r="L33" s="760">
        <v>646.67582551800001</v>
      </c>
      <c r="M33" s="760">
        <v>611.72037549000004</v>
      </c>
      <c r="N33" s="760">
        <v>576.76492546200006</v>
      </c>
      <c r="O33" s="760">
        <v>541.80947543399998</v>
      </c>
      <c r="P33" s="760">
        <v>527.82729542280003</v>
      </c>
    </row>
    <row r="34" spans="2:16" s="750" customFormat="1" ht="18" customHeight="1">
      <c r="B34" s="30" t="s">
        <v>124</v>
      </c>
      <c r="C34" s="31"/>
      <c r="D34" s="231"/>
      <c r="E34" s="31"/>
      <c r="F34" s="31"/>
      <c r="G34" s="31"/>
      <c r="H34" s="31"/>
      <c r="I34" s="31"/>
      <c r="J34" s="31"/>
    </row>
    <row r="35" spans="2:16" s="750" customFormat="1" ht="18" customHeight="1">
      <c r="B35" s="761" t="s">
        <v>2508</v>
      </c>
      <c r="C35" s="757"/>
      <c r="D35" s="231"/>
      <c r="E35" s="757"/>
      <c r="F35" s="757"/>
      <c r="G35" s="757"/>
      <c r="H35" s="758"/>
      <c r="I35" s="758"/>
      <c r="J35" s="758"/>
      <c r="K35" s="758"/>
      <c r="L35" s="758"/>
      <c r="M35" s="758"/>
      <c r="N35" s="758"/>
      <c r="O35" s="758"/>
      <c r="P35" s="758"/>
    </row>
    <row r="36" spans="2:16" s="750" customFormat="1" ht="18" customHeight="1">
      <c r="B36" s="761" t="s">
        <v>2509</v>
      </c>
      <c r="C36" s="757"/>
      <c r="D36" s="757"/>
      <c r="E36" s="757"/>
      <c r="F36" s="757"/>
      <c r="G36" s="757"/>
      <c r="H36" s="758"/>
      <c r="I36" s="758"/>
      <c r="J36" s="758"/>
      <c r="K36" s="758"/>
      <c r="L36" s="758"/>
      <c r="M36" s="758"/>
      <c r="N36" s="758"/>
      <c r="O36" s="758"/>
      <c r="P36" s="758"/>
    </row>
    <row r="37" spans="2:16" s="750" customFormat="1" ht="18" customHeight="1">
      <c r="B37" s="756"/>
      <c r="C37" s="757"/>
      <c r="D37" s="757"/>
      <c r="E37" s="757"/>
      <c r="F37" s="757"/>
      <c r="G37" s="757"/>
      <c r="H37" s="758"/>
      <c r="I37" s="758"/>
      <c r="J37" s="758"/>
      <c r="K37" s="758"/>
      <c r="L37" s="758"/>
      <c r="M37" s="758"/>
      <c r="N37" s="758"/>
      <c r="O37" s="758"/>
      <c r="P37" s="758"/>
    </row>
    <row r="38" spans="2:16" s="738" customFormat="1" ht="18" customHeight="1">
      <c r="B38" s="748" t="s">
        <v>1468</v>
      </c>
      <c r="C38" s="238"/>
      <c r="D38" s="762"/>
      <c r="E38" s="762"/>
      <c r="F38" s="762"/>
      <c r="G38" s="762"/>
      <c r="H38" s="762"/>
      <c r="I38" s="762"/>
      <c r="J38" s="758"/>
    </row>
    <row r="39" spans="2:16" s="738" customFormat="1" ht="24">
      <c r="B39" s="742" t="s">
        <v>55</v>
      </c>
      <c r="C39" s="763" t="s">
        <v>353</v>
      </c>
      <c r="D39" s="742" t="s">
        <v>867</v>
      </c>
      <c r="E39" s="742" t="s">
        <v>1472</v>
      </c>
      <c r="F39" s="742" t="s">
        <v>627</v>
      </c>
      <c r="G39" s="742" t="s">
        <v>1474</v>
      </c>
      <c r="H39" s="742" t="s">
        <v>1476</v>
      </c>
      <c r="I39" s="742" t="s">
        <v>1478</v>
      </c>
      <c r="K39" s="32"/>
      <c r="L39" s="764"/>
      <c r="M39" s="764"/>
      <c r="N39" s="764"/>
      <c r="O39" s="764"/>
    </row>
    <row r="40" spans="2:16" s="738" customFormat="1" ht="18" customHeight="1">
      <c r="B40" s="743" t="s">
        <v>2510</v>
      </c>
      <c r="C40" s="18" t="s">
        <v>2511</v>
      </c>
      <c r="D40" s="765">
        <v>1.6093</v>
      </c>
      <c r="E40" s="765">
        <v>1.6093</v>
      </c>
      <c r="F40" s="765">
        <v>1.6093</v>
      </c>
      <c r="G40" s="765">
        <v>1.6093</v>
      </c>
      <c r="H40" s="765">
        <v>1.6093</v>
      </c>
      <c r="I40" s="765">
        <v>1.6093</v>
      </c>
      <c r="K40" s="32"/>
      <c r="L40" s="764"/>
      <c r="M40" s="764"/>
      <c r="N40" s="764"/>
      <c r="O40" s="764"/>
    </row>
    <row r="41" spans="2:16" s="738" customFormat="1" ht="18" customHeight="1">
      <c r="B41" s="743" t="s">
        <v>2512</v>
      </c>
      <c r="C41" s="18" t="s">
        <v>211</v>
      </c>
      <c r="D41" s="765">
        <v>2.9718</v>
      </c>
      <c r="E41" s="765">
        <v>2.9718</v>
      </c>
      <c r="F41" s="765">
        <v>3.2491680000000001</v>
      </c>
      <c r="G41" s="765">
        <v>3.5173920000000001</v>
      </c>
      <c r="H41" s="765">
        <v>3.9624000000000001</v>
      </c>
      <c r="I41" s="765">
        <v>4.4439840000000004</v>
      </c>
      <c r="K41" s="32"/>
      <c r="L41" s="764"/>
      <c r="M41" s="764"/>
      <c r="N41" s="764"/>
      <c r="O41" s="764"/>
    </row>
    <row r="42" spans="2:16" s="738" customFormat="1" ht="18" customHeight="1">
      <c r="B42" s="743" t="s">
        <v>2513</v>
      </c>
      <c r="C42" s="18" t="s">
        <v>211</v>
      </c>
      <c r="D42" s="765">
        <v>2.9718</v>
      </c>
      <c r="E42" s="765">
        <v>2.9718</v>
      </c>
      <c r="F42" s="765">
        <v>3.2491680000000001</v>
      </c>
      <c r="G42" s="765">
        <v>3.5173920000000001</v>
      </c>
      <c r="H42" s="765">
        <v>3.9624000000000001</v>
      </c>
      <c r="I42" s="765">
        <v>4.4439840000000004</v>
      </c>
      <c r="K42" s="32"/>
      <c r="L42" s="764"/>
      <c r="M42" s="764"/>
      <c r="N42" s="764"/>
      <c r="O42" s="764"/>
    </row>
    <row r="43" spans="2:16" s="738" customFormat="1" ht="18" customHeight="1">
      <c r="B43" s="743" t="s">
        <v>2514</v>
      </c>
      <c r="C43" s="18" t="s">
        <v>215</v>
      </c>
      <c r="D43" s="765">
        <v>8.8315952400000004</v>
      </c>
      <c r="E43" s="765">
        <v>8.8315952400000004</v>
      </c>
      <c r="F43" s="765">
        <v>10.557092692224</v>
      </c>
      <c r="G43" s="765">
        <v>12.372046481664</v>
      </c>
      <c r="H43" s="765">
        <v>15.700613760000001</v>
      </c>
      <c r="I43" s="765">
        <v>19.748993792256002</v>
      </c>
      <c r="K43" s="32"/>
      <c r="L43" s="764"/>
      <c r="M43" s="764"/>
      <c r="N43" s="764"/>
      <c r="O43" s="764"/>
    </row>
    <row r="44" spans="2:16" s="738" customFormat="1" ht="18" customHeight="1">
      <c r="B44" s="743" t="s">
        <v>2515</v>
      </c>
      <c r="C44" s="18" t="s">
        <v>211</v>
      </c>
      <c r="D44" s="765">
        <v>0.5</v>
      </c>
      <c r="E44" s="765">
        <v>0.6</v>
      </c>
      <c r="F44" s="765">
        <v>0.8</v>
      </c>
      <c r="G44" s="765">
        <v>0.8</v>
      </c>
      <c r="H44" s="765">
        <v>0.9</v>
      </c>
      <c r="I44" s="765">
        <v>1.1000000000000001</v>
      </c>
      <c r="K44" s="32"/>
      <c r="L44" s="764"/>
      <c r="M44" s="764"/>
      <c r="N44" s="764"/>
      <c r="O44" s="764"/>
    </row>
    <row r="45" spans="2:16" s="738" customFormat="1" ht="18" customHeight="1">
      <c r="B45" s="743" t="s">
        <v>2516</v>
      </c>
      <c r="C45" s="18" t="s">
        <v>219</v>
      </c>
      <c r="D45" s="33">
        <v>4.4157976200000002</v>
      </c>
      <c r="E45" s="33">
        <v>5.2989571440000001</v>
      </c>
      <c r="F45" s="33">
        <v>8.4456741537791995</v>
      </c>
      <c r="G45" s="33">
        <v>9.8976371853312006</v>
      </c>
      <c r="H45" s="33">
        <v>14.130552384000001</v>
      </c>
      <c r="I45" s="33">
        <v>21.723893171481603</v>
      </c>
      <c r="K45" s="32"/>
      <c r="L45" s="764"/>
      <c r="M45" s="764"/>
      <c r="N45" s="764"/>
      <c r="O45" s="764"/>
    </row>
    <row r="46" spans="2:16" s="738" customFormat="1" ht="18" customHeight="1">
      <c r="B46" s="743" t="s">
        <v>2517</v>
      </c>
      <c r="C46" s="18" t="s">
        <v>2518</v>
      </c>
      <c r="D46" s="34">
        <v>1132.2982686874132</v>
      </c>
      <c r="E46" s="34">
        <v>1132.2982686874132</v>
      </c>
      <c r="F46" s="34">
        <v>947.23048205929501</v>
      </c>
      <c r="G46" s="34">
        <v>808.27371727228046</v>
      </c>
      <c r="H46" s="34">
        <v>636.91777613666989</v>
      </c>
      <c r="I46" s="34">
        <v>506.35491130293491</v>
      </c>
    </row>
    <row r="47" spans="2:16" s="738" customFormat="1" ht="18" customHeight="1">
      <c r="B47" s="743" t="s">
        <v>2519</v>
      </c>
      <c r="C47" s="18" t="s">
        <v>2520</v>
      </c>
      <c r="D47" s="35">
        <v>2.0909488565744452</v>
      </c>
      <c r="E47" s="35">
        <v>2.0909488565744452</v>
      </c>
      <c r="F47" s="35">
        <v>1.9124532224766271</v>
      </c>
      <c r="G47" s="35">
        <v>1.7666162349740764</v>
      </c>
      <c r="H47" s="35">
        <v>1.5682116424308339</v>
      </c>
      <c r="I47" s="35">
        <v>1.39826826828538</v>
      </c>
    </row>
    <row r="48" spans="2:16" s="738" customFormat="1" ht="18" customHeight="1">
      <c r="B48" s="16"/>
      <c r="C48" s="16"/>
      <c r="D48" s="16"/>
      <c r="E48" s="16"/>
      <c r="F48" s="16"/>
      <c r="G48" s="16"/>
      <c r="H48" s="16"/>
      <c r="I48" s="16"/>
    </row>
    <row r="49" spans="2:10" s="738" customFormat="1" ht="12.95" customHeight="1">
      <c r="B49" s="739" t="s">
        <v>2521</v>
      </c>
      <c r="C49" s="740"/>
      <c r="D49" s="741"/>
      <c r="E49" s="741"/>
      <c r="F49" s="741"/>
    </row>
    <row r="50" spans="2:10" s="738" customFormat="1">
      <c r="B50" s="742" t="s">
        <v>55</v>
      </c>
      <c r="C50" s="742" t="s">
        <v>353</v>
      </c>
      <c r="D50" s="742" t="s">
        <v>2522</v>
      </c>
      <c r="E50" s="742" t="s">
        <v>2523</v>
      </c>
      <c r="F50" s="742" t="s">
        <v>2524</v>
      </c>
    </row>
    <row r="51" spans="2:10" s="738" customFormat="1" ht="15.75">
      <c r="B51" s="743" t="s">
        <v>2525</v>
      </c>
      <c r="C51" s="18" t="s">
        <v>219</v>
      </c>
      <c r="D51" s="754"/>
      <c r="E51" s="754">
        <v>0.14199999999999999</v>
      </c>
      <c r="F51" s="754"/>
    </row>
    <row r="52" spans="2:10" s="738" customFormat="1" ht="15.75">
      <c r="B52" s="743" t="s">
        <v>2526</v>
      </c>
      <c r="C52" s="18" t="s">
        <v>2527</v>
      </c>
      <c r="D52" s="754"/>
      <c r="E52" s="754">
        <v>45</v>
      </c>
      <c r="F52" s="754"/>
    </row>
    <row r="53" spans="2:10" ht="15.75">
      <c r="B53" s="743" t="s">
        <v>2526</v>
      </c>
      <c r="C53" s="18" t="s">
        <v>2528</v>
      </c>
      <c r="D53" s="754"/>
      <c r="E53" s="754">
        <v>80</v>
      </c>
      <c r="F53" s="754"/>
    </row>
    <row r="54" spans="2:10" ht="15.75">
      <c r="B54" s="743" t="s">
        <v>100</v>
      </c>
      <c r="C54" s="18" t="s">
        <v>2479</v>
      </c>
      <c r="D54" s="29">
        <v>2</v>
      </c>
      <c r="E54" s="29">
        <v>11.36</v>
      </c>
      <c r="F54" s="29">
        <v>15</v>
      </c>
    </row>
    <row r="55" spans="2:10">
      <c r="E55" s="738"/>
      <c r="F55" s="738"/>
    </row>
    <row r="56" spans="2:10" s="750" customFormat="1" ht="18" customHeight="1">
      <c r="B56" s="748" t="s">
        <v>2529</v>
      </c>
      <c r="C56" s="238"/>
      <c r="D56" s="238"/>
      <c r="E56" s="238"/>
      <c r="F56" s="238"/>
      <c r="G56" s="238"/>
      <c r="H56" s="238"/>
      <c r="I56" s="238"/>
      <c r="J56" s="238"/>
    </row>
    <row r="57" spans="2:10" s="753" customFormat="1" ht="36">
      <c r="B57" s="742" t="s">
        <v>55</v>
      </c>
      <c r="C57" s="742" t="s">
        <v>353</v>
      </c>
      <c r="D57" s="742" t="s">
        <v>100</v>
      </c>
      <c r="E57" s="742" t="s">
        <v>2530</v>
      </c>
      <c r="F57" s="742" t="s">
        <v>2531</v>
      </c>
      <c r="G57" s="742" t="s">
        <v>2532</v>
      </c>
      <c r="H57" s="742" t="s">
        <v>2533</v>
      </c>
      <c r="I57" s="742" t="s">
        <v>2534</v>
      </c>
      <c r="J57" s="742" t="s">
        <v>2535</v>
      </c>
    </row>
    <row r="58" spans="2:10" s="753" customFormat="1" ht="18" customHeight="1">
      <c r="B58" s="743" t="s">
        <v>2536</v>
      </c>
      <c r="C58" s="18" t="s">
        <v>2537</v>
      </c>
      <c r="D58" s="22">
        <v>243</v>
      </c>
      <c r="E58" s="765" t="s">
        <v>2538</v>
      </c>
      <c r="F58" s="765">
        <v>1.5</v>
      </c>
      <c r="G58" s="765" t="s">
        <v>2539</v>
      </c>
      <c r="H58" s="765">
        <v>20</v>
      </c>
      <c r="I58" s="765">
        <v>270</v>
      </c>
      <c r="J58" s="766">
        <v>0.9</v>
      </c>
    </row>
    <row r="59" spans="2:10" s="753" customFormat="1" ht="18" customHeight="1">
      <c r="B59" s="743" t="s">
        <v>2540</v>
      </c>
      <c r="C59" s="18" t="s">
        <v>2537</v>
      </c>
      <c r="D59" s="22">
        <v>202.5</v>
      </c>
      <c r="E59" s="765" t="s">
        <v>2538</v>
      </c>
      <c r="F59" s="765">
        <v>1.5</v>
      </c>
      <c r="G59" s="765" t="s">
        <v>2539</v>
      </c>
      <c r="H59" s="765">
        <v>24</v>
      </c>
      <c r="I59" s="765">
        <v>225</v>
      </c>
      <c r="J59" s="766">
        <v>0.9</v>
      </c>
    </row>
    <row r="60" spans="2:10" s="753" customFormat="1" ht="18" customHeight="1">
      <c r="B60" s="743" t="s">
        <v>2541</v>
      </c>
      <c r="C60" s="18" t="s">
        <v>2537</v>
      </c>
      <c r="D60" s="22">
        <v>162</v>
      </c>
      <c r="E60" s="765" t="s">
        <v>2538</v>
      </c>
      <c r="F60" s="765">
        <v>1.5</v>
      </c>
      <c r="G60" s="765" t="s">
        <v>2539</v>
      </c>
      <c r="H60" s="765">
        <v>30</v>
      </c>
      <c r="I60" s="765">
        <v>180</v>
      </c>
      <c r="J60" s="766">
        <v>0.9</v>
      </c>
    </row>
    <row r="61" spans="2:10" s="753" customFormat="1" ht="18" customHeight="1">
      <c r="B61" s="743" t="s">
        <v>2542</v>
      </c>
      <c r="C61" s="18" t="s">
        <v>2537</v>
      </c>
      <c r="D61" s="22">
        <v>372.6</v>
      </c>
      <c r="E61" s="765" t="s">
        <v>2543</v>
      </c>
      <c r="F61" s="765">
        <v>2.2999999999999998</v>
      </c>
      <c r="G61" s="765" t="s">
        <v>2539</v>
      </c>
      <c r="H61" s="765">
        <v>20</v>
      </c>
      <c r="I61" s="765">
        <v>414</v>
      </c>
      <c r="J61" s="766">
        <v>0.9</v>
      </c>
    </row>
    <row r="62" spans="2:10" s="753" customFormat="1" ht="18" customHeight="1">
      <c r="B62" s="743" t="s">
        <v>2544</v>
      </c>
      <c r="C62" s="18" t="s">
        <v>2537</v>
      </c>
      <c r="D62" s="22">
        <v>310.5</v>
      </c>
      <c r="E62" s="765" t="s">
        <v>2543</v>
      </c>
      <c r="F62" s="765">
        <v>2.2999999999999998</v>
      </c>
      <c r="G62" s="765" t="s">
        <v>2539</v>
      </c>
      <c r="H62" s="765">
        <v>24</v>
      </c>
      <c r="I62" s="765">
        <v>345</v>
      </c>
      <c r="J62" s="766">
        <v>0.9</v>
      </c>
    </row>
    <row r="63" spans="2:10" s="753" customFormat="1" ht="18" customHeight="1">
      <c r="B63" s="743" t="s">
        <v>2545</v>
      </c>
      <c r="C63" s="18" t="s">
        <v>2537</v>
      </c>
      <c r="D63" s="22">
        <v>248.4</v>
      </c>
      <c r="E63" s="765" t="s">
        <v>2543</v>
      </c>
      <c r="F63" s="765">
        <v>2.2999999999999998</v>
      </c>
      <c r="G63" s="765" t="s">
        <v>2539</v>
      </c>
      <c r="H63" s="765">
        <v>30</v>
      </c>
      <c r="I63" s="765">
        <v>276</v>
      </c>
      <c r="J63" s="766">
        <v>0.9</v>
      </c>
    </row>
    <row r="64" spans="2:10" s="753" customFormat="1" ht="18" customHeight="1">
      <c r="B64" s="743" t="s">
        <v>2546</v>
      </c>
      <c r="C64" s="18" t="s">
        <v>2537</v>
      </c>
      <c r="D64" s="22">
        <v>295.8</v>
      </c>
      <c r="E64" s="765">
        <v>2.9</v>
      </c>
      <c r="F64" s="765">
        <v>2.9</v>
      </c>
      <c r="G64" s="765" t="s">
        <v>2539</v>
      </c>
      <c r="H64" s="765">
        <v>30</v>
      </c>
      <c r="I64" s="765">
        <v>348</v>
      </c>
      <c r="J64" s="766">
        <v>0.85</v>
      </c>
    </row>
    <row r="65" spans="2:10" s="753" customFormat="1" ht="18" customHeight="1">
      <c r="B65" s="297" t="s">
        <v>2547</v>
      </c>
      <c r="C65" s="18" t="s">
        <v>2537</v>
      </c>
      <c r="D65" s="22">
        <v>200</v>
      </c>
      <c r="E65" s="765"/>
      <c r="F65" s="765"/>
      <c r="G65" s="765"/>
      <c r="H65" s="765"/>
      <c r="I65" s="765"/>
      <c r="J65" s="765"/>
    </row>
    <row r="66" spans="2:10" s="753" customFormat="1" ht="18" customHeight="1">
      <c r="B66" s="297" t="s">
        <v>2548</v>
      </c>
      <c r="C66" s="18" t="s">
        <v>2537</v>
      </c>
      <c r="D66" s="22">
        <v>100</v>
      </c>
      <c r="E66" s="767" t="s">
        <v>2549</v>
      </c>
    </row>
    <row r="67" spans="2:10" s="753" customFormat="1" ht="18" customHeight="1">
      <c r="B67" s="743" t="s">
        <v>2550</v>
      </c>
      <c r="C67" s="18" t="s">
        <v>2479</v>
      </c>
      <c r="D67" s="22">
        <v>50</v>
      </c>
      <c r="E67" s="768" t="s">
        <v>2551</v>
      </c>
    </row>
    <row r="68" spans="2:10" s="753" customFormat="1" ht="18" customHeight="1">
      <c r="B68" s="297" t="s">
        <v>2552</v>
      </c>
      <c r="C68" s="18" t="s">
        <v>2479</v>
      </c>
      <c r="D68" s="22">
        <v>12.5</v>
      </c>
      <c r="E68" s="768" t="s">
        <v>2553</v>
      </c>
    </row>
    <row r="69" spans="2:10" s="753" customFormat="1" ht="18" customHeight="1">
      <c r="B69" s="743" t="s">
        <v>2554</v>
      </c>
      <c r="C69" s="18" t="s">
        <v>2555</v>
      </c>
      <c r="D69" s="22">
        <v>500</v>
      </c>
    </row>
    <row r="70" spans="2:10" s="753" customFormat="1" ht="18" customHeight="1">
      <c r="B70" s="743" t="s">
        <v>2556</v>
      </c>
      <c r="C70" s="18" t="s">
        <v>2557</v>
      </c>
      <c r="D70" s="22">
        <v>144</v>
      </c>
    </row>
    <row r="71" spans="2:10" s="753" customFormat="1" ht="18" customHeight="1">
      <c r="B71" s="743" t="s">
        <v>2558</v>
      </c>
      <c r="C71" s="18" t="s">
        <v>2557</v>
      </c>
      <c r="D71" s="22">
        <v>60</v>
      </c>
    </row>
    <row r="72" spans="2:10" s="753" customFormat="1" ht="18" customHeight="1">
      <c r="B72" s="743" t="s">
        <v>2559</v>
      </c>
      <c r="C72" s="18" t="s">
        <v>2557</v>
      </c>
      <c r="D72" s="22">
        <v>180</v>
      </c>
    </row>
    <row r="73" spans="2:10" s="753" customFormat="1" ht="18" customHeight="1">
      <c r="B73" s="743" t="s">
        <v>2560</v>
      </c>
      <c r="C73" s="18" t="s">
        <v>2557</v>
      </c>
      <c r="D73" s="22">
        <v>686.99999999999989</v>
      </c>
    </row>
    <row r="74" spans="2:10" s="753" customFormat="1" ht="18" customHeight="1">
      <c r="B74" s="297" t="s">
        <v>2561</v>
      </c>
      <c r="C74" s="18" t="s">
        <v>2482</v>
      </c>
      <c r="D74" s="22">
        <v>1</v>
      </c>
    </row>
    <row r="75" spans="2:10" s="753" customFormat="1" ht="18" customHeight="1">
      <c r="B75" s="297" t="s">
        <v>2562</v>
      </c>
      <c r="C75" s="18" t="s">
        <v>2555</v>
      </c>
      <c r="D75" s="22">
        <v>500</v>
      </c>
    </row>
    <row r="77" spans="2:10" s="738" customFormat="1" ht="18" customHeight="1">
      <c r="B77" s="769" t="s">
        <v>2563</v>
      </c>
      <c r="C77" s="740"/>
      <c r="D77" s="740"/>
      <c r="E77" s="740"/>
      <c r="F77" s="740"/>
      <c r="G77" s="16"/>
      <c r="H77" s="764"/>
      <c r="I77" s="764"/>
    </row>
    <row r="78" spans="2:10" s="738" customFormat="1" ht="24">
      <c r="B78" s="742" t="s">
        <v>55</v>
      </c>
      <c r="C78" s="763" t="s">
        <v>353</v>
      </c>
      <c r="D78" s="742" t="s">
        <v>637</v>
      </c>
      <c r="E78" s="742" t="s">
        <v>621</v>
      </c>
      <c r="F78" s="742" t="s">
        <v>620</v>
      </c>
      <c r="H78" s="764"/>
      <c r="I78" s="764"/>
    </row>
    <row r="79" spans="2:10" s="738" customFormat="1" ht="18" customHeight="1">
      <c r="B79" s="743" t="s">
        <v>2564</v>
      </c>
      <c r="C79" s="18" t="s">
        <v>2511</v>
      </c>
      <c r="D79" s="765">
        <v>5</v>
      </c>
      <c r="E79" s="765">
        <v>5</v>
      </c>
      <c r="F79" s="765">
        <v>5</v>
      </c>
      <c r="H79" s="764"/>
      <c r="I79" s="764"/>
    </row>
    <row r="80" spans="2:10" s="738" customFormat="1" ht="18" customHeight="1">
      <c r="B80" s="743" t="s">
        <v>2565</v>
      </c>
      <c r="C80" s="18" t="s">
        <v>211</v>
      </c>
      <c r="D80" s="765">
        <v>3.17</v>
      </c>
      <c r="E80" s="765">
        <v>3.17</v>
      </c>
      <c r="F80" s="765">
        <v>3.5</v>
      </c>
      <c r="H80" s="764"/>
      <c r="I80" s="764"/>
    </row>
    <row r="81" spans="2:10" s="738" customFormat="1" ht="18" customHeight="1">
      <c r="B81" s="743" t="s">
        <v>2566</v>
      </c>
      <c r="C81" s="18" t="s">
        <v>211</v>
      </c>
      <c r="D81" s="765">
        <v>0.6</v>
      </c>
      <c r="E81" s="765">
        <v>0.6</v>
      </c>
      <c r="F81" s="765">
        <v>0.7</v>
      </c>
      <c r="H81" s="764"/>
      <c r="I81" s="764"/>
    </row>
    <row r="82" spans="2:10" s="738" customFormat="1" ht="18" customHeight="1">
      <c r="B82" s="743" t="s">
        <v>2567</v>
      </c>
      <c r="C82" s="18" t="s">
        <v>223</v>
      </c>
      <c r="D82" s="766">
        <v>0.85</v>
      </c>
      <c r="E82" s="766">
        <v>0.85</v>
      </c>
      <c r="F82" s="766">
        <v>0.85</v>
      </c>
      <c r="H82" s="764"/>
      <c r="I82" s="764"/>
    </row>
    <row r="83" spans="2:10" s="738" customFormat="1" ht="18" customHeight="1">
      <c r="B83" s="743" t="s">
        <v>2568</v>
      </c>
      <c r="C83" s="18" t="s">
        <v>2557</v>
      </c>
      <c r="D83" s="34">
        <v>10922.5</v>
      </c>
      <c r="E83" s="34">
        <v>10922.5</v>
      </c>
      <c r="F83" s="34">
        <v>11900</v>
      </c>
      <c r="H83" s="764"/>
      <c r="I83" s="764"/>
    </row>
    <row r="84" spans="2:10" s="738" customFormat="1" ht="18" customHeight="1">
      <c r="B84" s="743" t="s">
        <v>2568</v>
      </c>
      <c r="C84" s="18" t="s">
        <v>2569</v>
      </c>
      <c r="D84" s="33">
        <v>1.0922499999999999</v>
      </c>
      <c r="E84" s="33">
        <v>1.0922499999999999</v>
      </c>
      <c r="F84" s="33">
        <v>1.19</v>
      </c>
      <c r="H84" s="764"/>
      <c r="I84" s="764"/>
    </row>
    <row r="85" spans="2:10">
      <c r="D85" s="770" t="s">
        <v>637</v>
      </c>
      <c r="E85" s="770" t="s">
        <v>621</v>
      </c>
      <c r="F85" s="770" t="s">
        <v>620</v>
      </c>
    </row>
    <row r="86" spans="2:10">
      <c r="B86" s="30" t="s">
        <v>124</v>
      </c>
    </row>
    <row r="87" spans="2:10" ht="15">
      <c r="B87" s="761" t="s">
        <v>2508</v>
      </c>
    </row>
    <row r="88" spans="2:10" ht="15">
      <c r="B88" s="761" t="s">
        <v>2570</v>
      </c>
    </row>
    <row r="90" spans="2:10" s="738" customFormat="1" ht="18" customHeight="1">
      <c r="B90" s="739" t="s">
        <v>2571</v>
      </c>
      <c r="C90" s="740"/>
      <c r="D90" s="740"/>
      <c r="E90" s="771"/>
      <c r="F90" s="771"/>
      <c r="G90" s="231"/>
      <c r="H90" s="764"/>
      <c r="I90" s="764"/>
      <c r="J90" s="764"/>
    </row>
    <row r="91" spans="2:10" s="738" customFormat="1" ht="24">
      <c r="B91" s="742" t="s">
        <v>55</v>
      </c>
      <c r="C91" s="763" t="s">
        <v>353</v>
      </c>
      <c r="D91" s="742" t="s">
        <v>637</v>
      </c>
      <c r="E91" s="742" t="s">
        <v>621</v>
      </c>
      <c r="F91" s="742" t="s">
        <v>620</v>
      </c>
      <c r="H91" s="764"/>
      <c r="I91" s="764"/>
      <c r="J91" s="764"/>
    </row>
    <row r="92" spans="2:10" s="738" customFormat="1" ht="18" customHeight="1">
      <c r="B92" s="743" t="s">
        <v>2572</v>
      </c>
      <c r="C92" s="18" t="s">
        <v>2511</v>
      </c>
      <c r="D92" s="765">
        <v>4.0999999999999996</v>
      </c>
      <c r="E92" s="765">
        <v>4.0999999999999996</v>
      </c>
      <c r="F92" s="765">
        <v>4.0999999999999996</v>
      </c>
      <c r="H92" s="764"/>
      <c r="I92" s="764"/>
      <c r="J92" s="764"/>
    </row>
    <row r="93" spans="2:10" s="738" customFormat="1" ht="18" customHeight="1">
      <c r="B93" s="743" t="s">
        <v>2512</v>
      </c>
      <c r="C93" s="18" t="s">
        <v>211</v>
      </c>
      <c r="D93" s="765">
        <v>2.31</v>
      </c>
      <c r="E93" s="765">
        <v>2.5950000000000002</v>
      </c>
      <c r="F93" s="765">
        <v>2.98</v>
      </c>
      <c r="H93" s="764"/>
      <c r="I93" s="764"/>
      <c r="J93" s="764"/>
    </row>
    <row r="94" spans="2:10" s="738" customFormat="1" ht="18" customHeight="1">
      <c r="B94" s="743" t="s">
        <v>2513</v>
      </c>
      <c r="C94" s="18" t="s">
        <v>211</v>
      </c>
      <c r="D94" s="765">
        <v>100</v>
      </c>
      <c r="E94" s="765">
        <v>100</v>
      </c>
      <c r="F94" s="765">
        <v>100</v>
      </c>
      <c r="H94" s="764"/>
      <c r="I94" s="764"/>
      <c r="J94" s="764"/>
    </row>
    <row r="95" spans="2:10" s="738" customFormat="1" ht="18" customHeight="1">
      <c r="B95" s="743" t="s">
        <v>2515</v>
      </c>
      <c r="C95" s="18" t="s">
        <v>211</v>
      </c>
      <c r="D95" s="765">
        <v>0.26700000000000002</v>
      </c>
      <c r="E95" s="765">
        <v>0.40400000000000003</v>
      </c>
      <c r="F95" s="765">
        <v>0.45200000000000001</v>
      </c>
      <c r="H95" s="764"/>
      <c r="I95" s="764"/>
      <c r="J95" s="764"/>
    </row>
    <row r="96" spans="2:10" s="738" customFormat="1" ht="18" customHeight="1">
      <c r="B96" s="743" t="s">
        <v>2516</v>
      </c>
      <c r="C96" s="18" t="s">
        <v>219</v>
      </c>
      <c r="D96" s="754">
        <v>61.677000000000007</v>
      </c>
      <c r="E96" s="754">
        <v>104.83800000000002</v>
      </c>
      <c r="F96" s="754">
        <v>134.696</v>
      </c>
      <c r="H96" s="764"/>
      <c r="I96" s="764"/>
      <c r="J96" s="764"/>
    </row>
    <row r="97" spans="2:39" s="738" customFormat="1" ht="18" customHeight="1">
      <c r="B97" s="743" t="s">
        <v>2573</v>
      </c>
      <c r="C97" s="18" t="s">
        <v>2518</v>
      </c>
      <c r="D97" s="754">
        <v>43.290043290043293</v>
      </c>
      <c r="E97" s="754">
        <v>38.53564547206166</v>
      </c>
      <c r="F97" s="754">
        <v>33.557046979865774</v>
      </c>
      <c r="H97" s="764"/>
      <c r="I97" s="764"/>
      <c r="J97" s="764"/>
    </row>
    <row r="98" spans="2:39" s="738" customFormat="1" ht="18" customHeight="1">
      <c r="B98" s="743" t="s">
        <v>2519</v>
      </c>
      <c r="C98" s="18" t="s">
        <v>2520</v>
      </c>
      <c r="D98" s="772">
        <v>1.0558547143913</v>
      </c>
      <c r="E98" s="772">
        <v>0.93989379200150402</v>
      </c>
      <c r="F98" s="772">
        <v>0.81846456048453109</v>
      </c>
      <c r="H98" s="764"/>
      <c r="I98" s="764"/>
      <c r="J98" s="764"/>
    </row>
    <row r="99" spans="2:39" s="738" customFormat="1" ht="18" customHeight="1">
      <c r="B99" s="764"/>
      <c r="C99" s="764"/>
      <c r="D99" s="764"/>
      <c r="E99" s="764"/>
      <c r="F99" s="764"/>
      <c r="G99" s="764"/>
      <c r="H99" s="764"/>
      <c r="I99" s="764"/>
      <c r="J99" s="764"/>
    </row>
    <row r="100" spans="2:39" s="738" customFormat="1" ht="18" customHeight="1">
      <c r="B100" s="748" t="s">
        <v>2574</v>
      </c>
      <c r="C100" s="238"/>
      <c r="D100" s="762"/>
      <c r="E100" s="762"/>
      <c r="F100" s="758"/>
      <c r="G100" s="758"/>
      <c r="H100" s="758"/>
      <c r="I100" s="758"/>
      <c r="J100" s="758"/>
    </row>
    <row r="101" spans="2:39" s="738" customFormat="1" ht="15">
      <c r="B101" s="742" t="s">
        <v>55</v>
      </c>
      <c r="C101" s="763" t="s">
        <v>353</v>
      </c>
      <c r="D101" s="742" t="s">
        <v>2225</v>
      </c>
      <c r="E101" s="742" t="s">
        <v>2575</v>
      </c>
      <c r="K101" s="32"/>
      <c r="L101" s="764"/>
      <c r="M101" s="764"/>
      <c r="N101" s="764"/>
      <c r="O101" s="764"/>
    </row>
    <row r="102" spans="2:39" s="738" customFormat="1" ht="18" customHeight="1">
      <c r="B102" s="743" t="s">
        <v>2576</v>
      </c>
      <c r="C102" s="18" t="s">
        <v>2577</v>
      </c>
      <c r="D102" s="765">
        <v>7.5</v>
      </c>
      <c r="E102" s="765">
        <v>0.75</v>
      </c>
      <c r="K102" s="32"/>
      <c r="L102" s="764"/>
      <c r="M102" s="764"/>
      <c r="N102" s="764"/>
      <c r="O102" s="764"/>
    </row>
    <row r="103" spans="2:39" s="738" customFormat="1" ht="18" customHeight="1">
      <c r="B103" s="297" t="s">
        <v>2578</v>
      </c>
      <c r="C103" s="18" t="s">
        <v>2577</v>
      </c>
      <c r="D103" s="765">
        <v>1.5</v>
      </c>
      <c r="E103" s="765">
        <v>0.15</v>
      </c>
      <c r="K103" s="32"/>
      <c r="L103" s="764"/>
      <c r="M103" s="764"/>
      <c r="N103" s="764"/>
      <c r="O103" s="764"/>
    </row>
    <row r="104" spans="2:39" s="738" customFormat="1" ht="18" customHeight="1">
      <c r="B104" s="297" t="s">
        <v>2579</v>
      </c>
      <c r="C104" s="18" t="s">
        <v>2577</v>
      </c>
      <c r="D104" s="765">
        <v>0.95</v>
      </c>
      <c r="E104" s="765">
        <v>9.5000000000000001E-2</v>
      </c>
      <c r="K104" s="32"/>
      <c r="L104" s="764"/>
      <c r="M104" s="764"/>
      <c r="N104" s="764"/>
      <c r="O104" s="764"/>
    </row>
    <row r="105" spans="2:39" s="738" customFormat="1" ht="18" customHeight="1">
      <c r="B105" s="297" t="s">
        <v>2580</v>
      </c>
      <c r="C105" s="18" t="s">
        <v>2577</v>
      </c>
      <c r="D105" s="765">
        <v>0.75</v>
      </c>
      <c r="E105" s="765">
        <v>7.4999999999999997E-2</v>
      </c>
      <c r="K105" s="32"/>
      <c r="L105" s="764"/>
      <c r="M105" s="764"/>
      <c r="N105" s="764"/>
      <c r="O105" s="764"/>
    </row>
    <row r="107" spans="2:39" ht="15">
      <c r="B107" s="739" t="s">
        <v>2581</v>
      </c>
      <c r="C107" s="740"/>
      <c r="D107" s="741"/>
      <c r="E107" s="738"/>
      <c r="F107" s="738"/>
    </row>
    <row r="108" spans="2:39" s="738" customFormat="1" ht="18" customHeight="1">
      <c r="B108" s="773"/>
      <c r="C108" s="773"/>
      <c r="D108" s="773"/>
      <c r="E108" s="773"/>
      <c r="F108" s="773"/>
      <c r="G108" s="773"/>
      <c r="H108" s="773"/>
      <c r="I108" s="773"/>
      <c r="J108" s="764"/>
      <c r="K108" s="764"/>
      <c r="L108" s="764"/>
      <c r="M108" s="764"/>
      <c r="N108" s="764"/>
      <c r="O108" s="764"/>
    </row>
    <row r="109" spans="2:39" s="738" customFormat="1" ht="36">
      <c r="B109" s="742" t="s">
        <v>55</v>
      </c>
      <c r="C109" s="742" t="s">
        <v>353</v>
      </c>
      <c r="D109" s="742" t="s">
        <v>2385</v>
      </c>
      <c r="E109" s="742" t="s">
        <v>2385</v>
      </c>
      <c r="F109" s="742" t="s">
        <v>2385</v>
      </c>
      <c r="G109" s="742" t="s">
        <v>2385</v>
      </c>
      <c r="H109" s="742" t="s">
        <v>2386</v>
      </c>
      <c r="I109" s="742" t="s">
        <v>2386</v>
      </c>
      <c r="J109" s="742" t="s">
        <v>2386</v>
      </c>
      <c r="K109" s="742" t="s">
        <v>2386</v>
      </c>
      <c r="L109" s="742" t="s">
        <v>2387</v>
      </c>
      <c r="M109" s="742" t="s">
        <v>2387</v>
      </c>
      <c r="N109" s="742" t="s">
        <v>2387</v>
      </c>
      <c r="O109" s="742" t="s">
        <v>2387</v>
      </c>
      <c r="P109" s="742" t="s">
        <v>2388</v>
      </c>
      <c r="Q109" s="742" t="s">
        <v>2388</v>
      </c>
      <c r="R109" s="742" t="s">
        <v>2388</v>
      </c>
      <c r="S109" s="742" t="s">
        <v>2388</v>
      </c>
      <c r="T109" s="742" t="s">
        <v>2389</v>
      </c>
      <c r="U109" s="742" t="s">
        <v>2389</v>
      </c>
      <c r="V109" s="742" t="s">
        <v>2389</v>
      </c>
      <c r="W109" s="742" t="s">
        <v>2389</v>
      </c>
      <c r="X109" s="742" t="s">
        <v>2390</v>
      </c>
      <c r="Y109" s="742" t="s">
        <v>2390</v>
      </c>
      <c r="Z109" s="742" t="s">
        <v>2390</v>
      </c>
      <c r="AA109" s="742" t="s">
        <v>2390</v>
      </c>
      <c r="AB109" s="742" t="s">
        <v>2391</v>
      </c>
      <c r="AC109" s="742" t="s">
        <v>2391</v>
      </c>
      <c r="AD109" s="742" t="s">
        <v>2391</v>
      </c>
      <c r="AE109" s="742" t="s">
        <v>2391</v>
      </c>
      <c r="AF109" s="742" t="s">
        <v>2392</v>
      </c>
      <c r="AG109" s="742" t="s">
        <v>2392</v>
      </c>
      <c r="AH109" s="742" t="s">
        <v>2392</v>
      </c>
      <c r="AI109" s="742" t="s">
        <v>2392</v>
      </c>
      <c r="AJ109" s="742" t="s">
        <v>2393</v>
      </c>
      <c r="AK109" s="742" t="s">
        <v>2393</v>
      </c>
      <c r="AL109" s="742" t="s">
        <v>2393</v>
      </c>
      <c r="AM109" s="742" t="s">
        <v>2393</v>
      </c>
    </row>
    <row r="110" spans="2:39" s="738" customFormat="1" ht="18" customHeight="1">
      <c r="B110" s="743" t="s">
        <v>2582</v>
      </c>
      <c r="C110" s="18" t="s">
        <v>211</v>
      </c>
      <c r="D110" s="754">
        <v>20</v>
      </c>
      <c r="E110" s="754">
        <v>50</v>
      </c>
      <c r="F110" s="754">
        <v>100</v>
      </c>
      <c r="G110" s="754">
        <v>200</v>
      </c>
      <c r="H110" s="754">
        <v>20</v>
      </c>
      <c r="I110" s="754">
        <v>50</v>
      </c>
      <c r="J110" s="754">
        <v>100</v>
      </c>
      <c r="K110" s="754">
        <v>200</v>
      </c>
      <c r="L110" s="754">
        <v>20</v>
      </c>
      <c r="M110" s="754">
        <v>50</v>
      </c>
      <c r="N110" s="754">
        <v>100</v>
      </c>
      <c r="O110" s="754">
        <v>200</v>
      </c>
      <c r="P110" s="754">
        <v>20</v>
      </c>
      <c r="Q110" s="754">
        <v>50</v>
      </c>
      <c r="R110" s="754">
        <v>100</v>
      </c>
      <c r="S110" s="754">
        <v>200</v>
      </c>
      <c r="T110" s="754">
        <v>20</v>
      </c>
      <c r="U110" s="754">
        <v>50</v>
      </c>
      <c r="V110" s="754">
        <v>100</v>
      </c>
      <c r="W110" s="754">
        <v>200</v>
      </c>
      <c r="X110" s="754">
        <v>20</v>
      </c>
      <c r="Y110" s="754">
        <v>50</v>
      </c>
      <c r="Z110" s="754">
        <v>100</v>
      </c>
      <c r="AA110" s="754">
        <v>200</v>
      </c>
      <c r="AB110" s="754">
        <v>20</v>
      </c>
      <c r="AC110" s="754">
        <v>50</v>
      </c>
      <c r="AD110" s="754">
        <v>100</v>
      </c>
      <c r="AE110" s="754">
        <v>200</v>
      </c>
      <c r="AF110" s="754">
        <v>20</v>
      </c>
      <c r="AG110" s="754">
        <v>50</v>
      </c>
      <c r="AH110" s="754">
        <v>100</v>
      </c>
      <c r="AI110" s="754">
        <v>200</v>
      </c>
      <c r="AJ110" s="754">
        <v>20</v>
      </c>
      <c r="AK110" s="754">
        <v>50</v>
      </c>
      <c r="AL110" s="754">
        <v>100</v>
      </c>
      <c r="AM110" s="754">
        <v>200</v>
      </c>
    </row>
    <row r="111" spans="2:39" s="738" customFormat="1" ht="18" customHeight="1">
      <c r="B111" s="743" t="s">
        <v>2583</v>
      </c>
      <c r="C111" s="18" t="s">
        <v>2584</v>
      </c>
      <c r="D111" s="765">
        <v>0.6</v>
      </c>
      <c r="E111" s="765">
        <v>0.6</v>
      </c>
      <c r="F111" s="765">
        <v>0.6</v>
      </c>
      <c r="G111" s="765">
        <v>0.6</v>
      </c>
      <c r="H111" s="765">
        <v>0.6</v>
      </c>
      <c r="I111" s="765">
        <v>0.6</v>
      </c>
      <c r="J111" s="765">
        <v>0.6</v>
      </c>
      <c r="K111" s="765">
        <v>0.6</v>
      </c>
      <c r="L111" s="765">
        <v>0.6</v>
      </c>
      <c r="M111" s="765">
        <v>0.6</v>
      </c>
      <c r="N111" s="765">
        <v>0.6</v>
      </c>
      <c r="O111" s="765">
        <v>0.6</v>
      </c>
      <c r="P111" s="765">
        <v>0.6</v>
      </c>
      <c r="Q111" s="765">
        <v>0.6</v>
      </c>
      <c r="R111" s="765">
        <v>0.6</v>
      </c>
      <c r="S111" s="765">
        <v>0.6</v>
      </c>
      <c r="T111" s="765">
        <v>0.6</v>
      </c>
      <c r="U111" s="765">
        <v>0.6</v>
      </c>
      <c r="V111" s="765">
        <v>0.6</v>
      </c>
      <c r="W111" s="765">
        <v>0.6</v>
      </c>
      <c r="X111" s="765">
        <v>0.6</v>
      </c>
      <c r="Y111" s="765">
        <v>0.6</v>
      </c>
      <c r="Z111" s="765">
        <v>0.6</v>
      </c>
      <c r="AA111" s="765">
        <v>0.6</v>
      </c>
      <c r="AB111" s="765">
        <v>0.6</v>
      </c>
      <c r="AC111" s="765">
        <v>0.6</v>
      </c>
      <c r="AD111" s="765">
        <v>0.6</v>
      </c>
      <c r="AE111" s="765">
        <v>0.6</v>
      </c>
      <c r="AF111" s="765">
        <v>0.6</v>
      </c>
      <c r="AG111" s="765">
        <v>0.6</v>
      </c>
      <c r="AH111" s="765">
        <v>0.6</v>
      </c>
      <c r="AI111" s="765">
        <v>0.6</v>
      </c>
      <c r="AJ111" s="765">
        <v>0.6</v>
      </c>
      <c r="AK111" s="765">
        <v>0.6</v>
      </c>
      <c r="AL111" s="765">
        <v>0.6</v>
      </c>
      <c r="AM111" s="765">
        <v>0.6</v>
      </c>
    </row>
    <row r="112" spans="2:39" s="738" customFormat="1" ht="18" customHeight="1">
      <c r="B112" s="743" t="s">
        <v>2585</v>
      </c>
      <c r="C112" s="18" t="s">
        <v>2584</v>
      </c>
      <c r="D112" s="765">
        <v>0.2</v>
      </c>
      <c r="E112" s="765">
        <v>0.3</v>
      </c>
      <c r="F112" s="765">
        <v>0.5</v>
      </c>
      <c r="G112" s="765">
        <v>0.8</v>
      </c>
      <c r="H112" s="765">
        <v>0.2</v>
      </c>
      <c r="I112" s="765">
        <v>0.3</v>
      </c>
      <c r="J112" s="765">
        <v>0.5</v>
      </c>
      <c r="K112" s="765">
        <v>0.8</v>
      </c>
      <c r="L112" s="765">
        <v>0.2</v>
      </c>
      <c r="M112" s="765">
        <v>0.3</v>
      </c>
      <c r="N112" s="765">
        <v>0.5</v>
      </c>
      <c r="O112" s="765">
        <v>0.8</v>
      </c>
      <c r="P112" s="765">
        <v>0.2</v>
      </c>
      <c r="Q112" s="765">
        <v>0.3</v>
      </c>
      <c r="R112" s="765">
        <v>0.5</v>
      </c>
      <c r="S112" s="765">
        <v>0.8</v>
      </c>
      <c r="T112" s="765">
        <v>0.2</v>
      </c>
      <c r="U112" s="765">
        <v>0.3</v>
      </c>
      <c r="V112" s="765">
        <v>0.5</v>
      </c>
      <c r="W112" s="765">
        <v>0.8</v>
      </c>
      <c r="X112" s="765">
        <v>0.2</v>
      </c>
      <c r="Y112" s="765">
        <v>0.3</v>
      </c>
      <c r="Z112" s="765">
        <v>0.5</v>
      </c>
      <c r="AA112" s="765">
        <v>0.8</v>
      </c>
      <c r="AB112" s="765">
        <v>0.2</v>
      </c>
      <c r="AC112" s="765">
        <v>0.3</v>
      </c>
      <c r="AD112" s="765">
        <v>0.5</v>
      </c>
      <c r="AE112" s="765">
        <v>0.8</v>
      </c>
      <c r="AF112" s="765">
        <v>0.2</v>
      </c>
      <c r="AG112" s="765">
        <v>0.3</v>
      </c>
      <c r="AH112" s="765">
        <v>0.5</v>
      </c>
      <c r="AI112" s="765">
        <v>0.8</v>
      </c>
      <c r="AJ112" s="765">
        <v>0.2</v>
      </c>
      <c r="AK112" s="765">
        <v>0.3</v>
      </c>
      <c r="AL112" s="765">
        <v>0.5</v>
      </c>
      <c r="AM112" s="765">
        <v>0.8</v>
      </c>
    </row>
    <row r="113" spans="2:39" s="738" customFormat="1" ht="18" customHeight="1">
      <c r="B113" s="743" t="s">
        <v>2586</v>
      </c>
      <c r="C113" s="18" t="s">
        <v>2584</v>
      </c>
      <c r="D113" s="765">
        <v>0.2</v>
      </c>
      <c r="E113" s="765">
        <v>0.3</v>
      </c>
      <c r="F113" s="765">
        <v>0.5</v>
      </c>
      <c r="G113" s="765">
        <v>0.8</v>
      </c>
      <c r="H113" s="765">
        <v>0.2</v>
      </c>
      <c r="I113" s="765">
        <v>0.3</v>
      </c>
      <c r="J113" s="765">
        <v>0.5</v>
      </c>
      <c r="K113" s="765">
        <v>0.8</v>
      </c>
      <c r="L113" s="765">
        <v>0.2</v>
      </c>
      <c r="M113" s="765">
        <v>0.3</v>
      </c>
      <c r="N113" s="765">
        <v>0.5</v>
      </c>
      <c r="O113" s="765">
        <v>0.8</v>
      </c>
      <c r="P113" s="765">
        <v>0.2</v>
      </c>
      <c r="Q113" s="765">
        <v>0.3</v>
      </c>
      <c r="R113" s="765">
        <v>0.5</v>
      </c>
      <c r="S113" s="765">
        <v>0.8</v>
      </c>
      <c r="T113" s="765">
        <v>0.2</v>
      </c>
      <c r="U113" s="765">
        <v>0.3</v>
      </c>
      <c r="V113" s="765">
        <v>0.5</v>
      </c>
      <c r="W113" s="765">
        <v>0.8</v>
      </c>
      <c r="X113" s="765">
        <v>0.2</v>
      </c>
      <c r="Y113" s="765">
        <v>0.3</v>
      </c>
      <c r="Z113" s="765">
        <v>0.5</v>
      </c>
      <c r="AA113" s="765">
        <v>0.8</v>
      </c>
      <c r="AB113" s="765">
        <v>0.2</v>
      </c>
      <c r="AC113" s="765">
        <v>0.3</v>
      </c>
      <c r="AD113" s="765">
        <v>0.5</v>
      </c>
      <c r="AE113" s="765">
        <v>0.8</v>
      </c>
      <c r="AF113" s="765">
        <v>0.2</v>
      </c>
      <c r="AG113" s="765">
        <v>0.3</v>
      </c>
      <c r="AH113" s="765">
        <v>0.5</v>
      </c>
      <c r="AI113" s="765">
        <v>0.8</v>
      </c>
      <c r="AJ113" s="765">
        <v>0.2</v>
      </c>
      <c r="AK113" s="765">
        <v>0.3</v>
      </c>
      <c r="AL113" s="765">
        <v>0.5</v>
      </c>
      <c r="AM113" s="765">
        <v>0.8</v>
      </c>
    </row>
    <row r="114" spans="2:39" s="738" customFormat="1" ht="18" customHeight="1">
      <c r="B114" s="743" t="s">
        <v>2587</v>
      </c>
      <c r="C114" s="18" t="s">
        <v>2584</v>
      </c>
      <c r="D114" s="765">
        <v>1</v>
      </c>
      <c r="E114" s="765">
        <v>1.2</v>
      </c>
      <c r="F114" s="765">
        <v>1.6</v>
      </c>
      <c r="G114" s="765">
        <v>2.2000000000000002</v>
      </c>
      <c r="H114" s="765">
        <v>1</v>
      </c>
      <c r="I114" s="765">
        <v>1.2</v>
      </c>
      <c r="J114" s="765">
        <v>1.6</v>
      </c>
      <c r="K114" s="765">
        <v>2.2000000000000002</v>
      </c>
      <c r="L114" s="765">
        <v>1</v>
      </c>
      <c r="M114" s="765">
        <v>1.2</v>
      </c>
      <c r="N114" s="765">
        <v>1.6</v>
      </c>
      <c r="O114" s="765">
        <v>2.2000000000000002</v>
      </c>
      <c r="P114" s="765">
        <v>1</v>
      </c>
      <c r="Q114" s="765">
        <v>1.2</v>
      </c>
      <c r="R114" s="765">
        <v>1.6</v>
      </c>
      <c r="S114" s="765">
        <v>2.2000000000000002</v>
      </c>
      <c r="T114" s="765">
        <v>1</v>
      </c>
      <c r="U114" s="765">
        <v>1.2</v>
      </c>
      <c r="V114" s="765">
        <v>1.6</v>
      </c>
      <c r="W114" s="765">
        <v>2.2000000000000002</v>
      </c>
      <c r="X114" s="765">
        <v>1</v>
      </c>
      <c r="Y114" s="765">
        <v>1.2</v>
      </c>
      <c r="Z114" s="765">
        <v>1.6</v>
      </c>
      <c r="AA114" s="765">
        <v>2.2000000000000002</v>
      </c>
      <c r="AB114" s="765">
        <v>1</v>
      </c>
      <c r="AC114" s="765">
        <v>1.2</v>
      </c>
      <c r="AD114" s="765">
        <v>1.6</v>
      </c>
      <c r="AE114" s="765">
        <v>2.2000000000000002</v>
      </c>
      <c r="AF114" s="765">
        <v>1</v>
      </c>
      <c r="AG114" s="765">
        <v>1.2</v>
      </c>
      <c r="AH114" s="765">
        <v>1.6</v>
      </c>
      <c r="AI114" s="765">
        <v>2.2000000000000002</v>
      </c>
      <c r="AJ114" s="765">
        <v>1</v>
      </c>
      <c r="AK114" s="765">
        <v>1.2</v>
      </c>
      <c r="AL114" s="765">
        <v>1.6</v>
      </c>
      <c r="AM114" s="765">
        <v>2.2000000000000002</v>
      </c>
    </row>
    <row r="115" spans="2:39" s="738" customFormat="1" ht="18" customHeight="1">
      <c r="B115" s="743" t="s">
        <v>2588</v>
      </c>
      <c r="C115" s="18" t="s">
        <v>219</v>
      </c>
      <c r="D115" s="765">
        <v>2.9</v>
      </c>
      <c r="E115" s="765">
        <v>2.9</v>
      </c>
      <c r="F115" s="765">
        <v>2.9</v>
      </c>
      <c r="G115" s="765">
        <v>2.9</v>
      </c>
      <c r="H115" s="765">
        <v>2.9</v>
      </c>
      <c r="I115" s="765">
        <v>2.9</v>
      </c>
      <c r="J115" s="765">
        <v>2.9</v>
      </c>
      <c r="K115" s="765">
        <v>2.9</v>
      </c>
      <c r="L115" s="765">
        <v>3.8</v>
      </c>
      <c r="M115" s="765">
        <v>3.8</v>
      </c>
      <c r="N115" s="765">
        <v>3.8</v>
      </c>
      <c r="O115" s="765">
        <v>3.8</v>
      </c>
      <c r="P115" s="765">
        <v>4.5999999999999996</v>
      </c>
      <c r="Q115" s="765">
        <v>4.5999999999999996</v>
      </c>
      <c r="R115" s="765">
        <v>4.5999999999999996</v>
      </c>
      <c r="S115" s="765">
        <v>4.5999999999999996</v>
      </c>
      <c r="T115" s="765">
        <v>5</v>
      </c>
      <c r="U115" s="765">
        <v>5</v>
      </c>
      <c r="V115" s="765">
        <v>5</v>
      </c>
      <c r="W115" s="765">
        <v>5</v>
      </c>
      <c r="X115" s="765">
        <v>6</v>
      </c>
      <c r="Y115" s="765">
        <v>6</v>
      </c>
      <c r="Z115" s="765">
        <v>6</v>
      </c>
      <c r="AA115" s="765">
        <v>6</v>
      </c>
      <c r="AB115" s="765">
        <v>10</v>
      </c>
      <c r="AC115" s="765">
        <v>10</v>
      </c>
      <c r="AD115" s="765">
        <v>10</v>
      </c>
      <c r="AE115" s="765">
        <v>10</v>
      </c>
      <c r="AF115" s="765">
        <v>12.2</v>
      </c>
      <c r="AG115" s="765">
        <v>12.2</v>
      </c>
      <c r="AH115" s="765">
        <v>12.2</v>
      </c>
      <c r="AI115" s="765">
        <v>12.2</v>
      </c>
      <c r="AJ115" s="765">
        <v>24.5</v>
      </c>
      <c r="AK115" s="765">
        <v>24.5</v>
      </c>
      <c r="AL115" s="765">
        <v>24.5</v>
      </c>
      <c r="AM115" s="765">
        <v>24.5</v>
      </c>
    </row>
    <row r="116" spans="2:39" s="738" customFormat="1" ht="18" customHeight="1">
      <c r="B116" s="743" t="s">
        <v>2567</v>
      </c>
      <c r="C116" s="18"/>
      <c r="D116" s="766">
        <v>1</v>
      </c>
      <c r="E116" s="766">
        <v>1</v>
      </c>
      <c r="F116" s="766">
        <v>1</v>
      </c>
      <c r="G116" s="766">
        <v>1</v>
      </c>
      <c r="H116" s="766">
        <v>1</v>
      </c>
      <c r="I116" s="766">
        <v>1</v>
      </c>
      <c r="J116" s="766">
        <v>1</v>
      </c>
      <c r="K116" s="766">
        <v>1</v>
      </c>
      <c r="L116" s="766">
        <v>1</v>
      </c>
      <c r="M116" s="766">
        <v>1</v>
      </c>
      <c r="N116" s="766">
        <v>1</v>
      </c>
      <c r="O116" s="766">
        <v>1</v>
      </c>
      <c r="P116" s="766">
        <v>1</v>
      </c>
      <c r="Q116" s="766">
        <v>1</v>
      </c>
      <c r="R116" s="766">
        <v>1</v>
      </c>
      <c r="S116" s="766">
        <v>1</v>
      </c>
      <c r="T116" s="766">
        <v>1</v>
      </c>
      <c r="U116" s="766">
        <v>1</v>
      </c>
      <c r="V116" s="766">
        <v>1</v>
      </c>
      <c r="W116" s="766">
        <v>1</v>
      </c>
      <c r="X116" s="766">
        <v>1</v>
      </c>
      <c r="Y116" s="766">
        <v>1</v>
      </c>
      <c r="Z116" s="766">
        <v>1</v>
      </c>
      <c r="AA116" s="766">
        <v>1</v>
      </c>
      <c r="AB116" s="766">
        <v>1</v>
      </c>
      <c r="AC116" s="766">
        <v>1</v>
      </c>
      <c r="AD116" s="766">
        <v>1</v>
      </c>
      <c r="AE116" s="766">
        <v>1</v>
      </c>
      <c r="AF116" s="766">
        <v>1</v>
      </c>
      <c r="AG116" s="766">
        <v>1</v>
      </c>
      <c r="AH116" s="766">
        <v>1</v>
      </c>
      <c r="AI116" s="766">
        <v>1</v>
      </c>
      <c r="AJ116" s="766">
        <v>1</v>
      </c>
      <c r="AK116" s="766">
        <v>1</v>
      </c>
      <c r="AL116" s="766">
        <v>1</v>
      </c>
      <c r="AM116" s="766">
        <v>1</v>
      </c>
    </row>
    <row r="117" spans="2:39" s="738" customFormat="1" ht="18" customHeight="1">
      <c r="B117" s="743" t="s">
        <v>2589</v>
      </c>
      <c r="C117" s="18" t="s">
        <v>2479</v>
      </c>
      <c r="D117" s="22">
        <v>174</v>
      </c>
      <c r="E117" s="22">
        <v>145</v>
      </c>
      <c r="F117" s="22">
        <v>108.75</v>
      </c>
      <c r="G117" s="22">
        <v>79.090909090909079</v>
      </c>
      <c r="H117" s="22">
        <v>174</v>
      </c>
      <c r="I117" s="22">
        <v>145</v>
      </c>
      <c r="J117" s="22">
        <v>108.75</v>
      </c>
      <c r="K117" s="22">
        <v>79.090909090909079</v>
      </c>
      <c r="L117" s="22">
        <v>228</v>
      </c>
      <c r="M117" s="22">
        <v>190</v>
      </c>
      <c r="N117" s="22">
        <v>142.5</v>
      </c>
      <c r="O117" s="22">
        <v>103.63636363636363</v>
      </c>
      <c r="P117" s="22">
        <v>276</v>
      </c>
      <c r="Q117" s="22">
        <v>229.99999999999997</v>
      </c>
      <c r="R117" s="22">
        <v>172.5</v>
      </c>
      <c r="S117" s="22">
        <v>125.45454545454542</v>
      </c>
      <c r="T117" s="22">
        <v>300</v>
      </c>
      <c r="U117" s="22">
        <v>250</v>
      </c>
      <c r="V117" s="22">
        <v>187.5</v>
      </c>
      <c r="W117" s="22">
        <v>136.36363636363635</v>
      </c>
      <c r="X117" s="22">
        <v>360</v>
      </c>
      <c r="Y117" s="22">
        <v>300</v>
      </c>
      <c r="Z117" s="22">
        <v>225</v>
      </c>
      <c r="AA117" s="22">
        <v>163.63636363636363</v>
      </c>
      <c r="AB117" s="22">
        <v>600</v>
      </c>
      <c r="AC117" s="22">
        <v>500</v>
      </c>
      <c r="AD117" s="22">
        <v>375</v>
      </c>
      <c r="AE117" s="22">
        <v>272.72727272727269</v>
      </c>
      <c r="AF117" s="22">
        <v>732</v>
      </c>
      <c r="AG117" s="22">
        <v>610</v>
      </c>
      <c r="AH117" s="22">
        <v>457.5</v>
      </c>
      <c r="AI117" s="22">
        <v>332.72727272727269</v>
      </c>
      <c r="AJ117" s="22">
        <v>1470</v>
      </c>
      <c r="AK117" s="22">
        <v>1225</v>
      </c>
      <c r="AL117" s="22">
        <v>918.75</v>
      </c>
      <c r="AM117" s="22">
        <v>668.18181818181813</v>
      </c>
    </row>
    <row r="118" spans="2:39" s="738" customFormat="1" ht="17.25">
      <c r="B118" s="16"/>
      <c r="C118" s="16"/>
      <c r="D118" s="19"/>
    </row>
    <row r="119" spans="2:39" ht="15">
      <c r="B119" s="739" t="s">
        <v>2590</v>
      </c>
      <c r="C119" s="740"/>
      <c r="D119" s="741"/>
      <c r="E119" s="738"/>
      <c r="F119" s="738"/>
    </row>
    <row r="120" spans="2:39">
      <c r="B120" s="742" t="s">
        <v>55</v>
      </c>
      <c r="C120" s="742" t="s">
        <v>353</v>
      </c>
      <c r="D120" s="742" t="s">
        <v>2225</v>
      </c>
      <c r="E120" s="738"/>
      <c r="F120" s="738"/>
    </row>
    <row r="121" spans="2:39" s="738" customFormat="1" ht="18" customHeight="1">
      <c r="B121" s="743" t="s">
        <v>2591</v>
      </c>
      <c r="C121" s="18" t="s">
        <v>2592</v>
      </c>
      <c r="D121" s="754">
        <v>24</v>
      </c>
      <c r="G121" s="231"/>
      <c r="H121" s="231"/>
      <c r="I121" s="231"/>
      <c r="J121" s="231"/>
      <c r="K121" s="231"/>
      <c r="L121" s="231"/>
      <c r="M121" s="231"/>
      <c r="N121" s="231"/>
      <c r="O121" s="231"/>
      <c r="P121" s="231"/>
      <c r="Q121" s="231"/>
      <c r="R121" s="231"/>
      <c r="S121" s="231"/>
      <c r="T121" s="231"/>
      <c r="U121" s="231"/>
      <c r="V121" s="231"/>
      <c r="W121" s="231"/>
      <c r="X121" s="231"/>
      <c r="Y121" s="231"/>
      <c r="Z121" s="231"/>
      <c r="AA121" s="231"/>
      <c r="AB121" s="231"/>
      <c r="AC121" s="231"/>
      <c r="AD121" s="231"/>
      <c r="AE121" s="231"/>
      <c r="AF121" s="231"/>
      <c r="AG121" s="231"/>
      <c r="AH121" s="231"/>
      <c r="AI121" s="231"/>
      <c r="AJ121" s="231"/>
      <c r="AK121" s="231"/>
      <c r="AL121" s="231"/>
      <c r="AM121" s="231"/>
    </row>
    <row r="122" spans="2:39" s="738" customFormat="1" ht="18" customHeight="1">
      <c r="B122" s="743" t="s">
        <v>2593</v>
      </c>
      <c r="C122" s="18" t="s">
        <v>219</v>
      </c>
      <c r="D122" s="754">
        <v>31.25</v>
      </c>
      <c r="G122" s="231"/>
      <c r="H122" s="231"/>
      <c r="I122" s="231"/>
      <c r="J122" s="231"/>
      <c r="K122" s="231"/>
      <c r="L122" s="231"/>
      <c r="M122" s="231"/>
      <c r="N122" s="231"/>
      <c r="O122" s="231"/>
      <c r="P122" s="231"/>
      <c r="Q122" s="231"/>
      <c r="R122" s="231"/>
      <c r="S122" s="231"/>
      <c r="T122" s="231"/>
      <c r="U122" s="231"/>
      <c r="V122" s="231"/>
      <c r="W122" s="231"/>
      <c r="X122" s="231"/>
      <c r="Y122" s="231"/>
      <c r="Z122" s="231"/>
      <c r="AA122" s="231"/>
      <c r="AB122" s="231"/>
      <c r="AC122" s="231"/>
      <c r="AD122" s="231"/>
      <c r="AE122" s="231"/>
      <c r="AF122" s="231"/>
      <c r="AG122" s="231"/>
      <c r="AH122" s="231"/>
      <c r="AI122" s="231"/>
      <c r="AJ122" s="231"/>
      <c r="AK122" s="231"/>
      <c r="AL122" s="231"/>
      <c r="AM122" s="231"/>
    </row>
    <row r="123" spans="2:39" s="738" customFormat="1" ht="18" customHeight="1">
      <c r="B123" s="743" t="s">
        <v>2594</v>
      </c>
      <c r="C123" s="18" t="s">
        <v>2511</v>
      </c>
      <c r="D123" s="754">
        <v>90</v>
      </c>
      <c r="G123" s="231"/>
      <c r="H123" s="231"/>
      <c r="I123" s="231"/>
      <c r="J123" s="231"/>
      <c r="K123" s="231"/>
      <c r="L123" s="231"/>
      <c r="M123" s="231"/>
      <c r="N123" s="231"/>
      <c r="O123" s="231"/>
      <c r="P123" s="231"/>
      <c r="Q123" s="231"/>
      <c r="R123" s="231"/>
      <c r="S123" s="231"/>
      <c r="T123" s="231"/>
      <c r="U123" s="231"/>
      <c r="V123" s="231"/>
      <c r="W123" s="231"/>
      <c r="X123" s="231"/>
      <c r="Y123" s="231"/>
      <c r="Z123" s="231"/>
      <c r="AA123" s="231"/>
      <c r="AB123" s="231"/>
      <c r="AC123" s="231"/>
      <c r="AD123" s="231"/>
      <c r="AE123" s="231"/>
      <c r="AF123" s="231"/>
      <c r="AG123" s="231"/>
      <c r="AH123" s="231"/>
      <c r="AI123" s="231"/>
      <c r="AJ123" s="231"/>
      <c r="AK123" s="231"/>
      <c r="AL123" s="231"/>
      <c r="AM123" s="231"/>
    </row>
    <row r="124" spans="2:39" s="738" customFormat="1" ht="18" customHeight="1">
      <c r="B124" s="743" t="s">
        <v>2595</v>
      </c>
      <c r="C124" s="18" t="s">
        <v>2511</v>
      </c>
      <c r="D124" s="754">
        <v>95</v>
      </c>
      <c r="G124" s="231"/>
      <c r="H124" s="231"/>
      <c r="I124" s="231"/>
      <c r="J124" s="231"/>
      <c r="K124" s="231"/>
      <c r="L124" s="231"/>
      <c r="M124" s="231"/>
      <c r="N124" s="231"/>
      <c r="O124" s="231"/>
      <c r="P124" s="231"/>
      <c r="Q124" s="231"/>
      <c r="R124" s="231"/>
      <c r="S124" s="231"/>
      <c r="T124" s="231"/>
      <c r="U124" s="231"/>
      <c r="V124" s="231"/>
      <c r="W124" s="231"/>
      <c r="X124" s="231"/>
      <c r="Y124" s="231"/>
      <c r="Z124" s="231"/>
      <c r="AA124" s="231"/>
      <c r="AB124" s="231"/>
      <c r="AC124" s="231"/>
      <c r="AD124" s="231"/>
      <c r="AE124" s="231"/>
      <c r="AF124" s="231"/>
      <c r="AG124" s="231"/>
      <c r="AH124" s="231"/>
      <c r="AI124" s="231"/>
      <c r="AJ124" s="231"/>
      <c r="AK124" s="231"/>
      <c r="AL124" s="231"/>
      <c r="AM124" s="231"/>
    </row>
    <row r="125" spans="2:39" s="738" customFormat="1" ht="18" customHeight="1">
      <c r="B125" s="743" t="s">
        <v>2596</v>
      </c>
      <c r="C125" s="18" t="s">
        <v>2511</v>
      </c>
      <c r="D125" s="754">
        <v>40</v>
      </c>
      <c r="G125" s="231"/>
      <c r="H125" s="231"/>
      <c r="I125" s="231"/>
      <c r="J125" s="231"/>
      <c r="K125" s="231"/>
      <c r="L125" s="231"/>
      <c r="M125" s="231"/>
      <c r="N125" s="231"/>
      <c r="O125" s="231"/>
      <c r="P125" s="231"/>
      <c r="Q125" s="231"/>
      <c r="R125" s="231"/>
      <c r="S125" s="231"/>
      <c r="T125" s="231"/>
      <c r="U125" s="231"/>
      <c r="V125" s="231"/>
      <c r="W125" s="231"/>
      <c r="X125" s="231"/>
      <c r="Y125" s="231"/>
      <c r="Z125" s="231"/>
      <c r="AA125" s="231"/>
      <c r="AB125" s="231"/>
      <c r="AC125" s="231"/>
      <c r="AD125" s="231"/>
      <c r="AE125" s="231"/>
      <c r="AF125" s="231"/>
      <c r="AG125" s="231"/>
      <c r="AH125" s="231"/>
      <c r="AI125" s="231"/>
      <c r="AJ125" s="231"/>
      <c r="AK125" s="231"/>
      <c r="AL125" s="231"/>
      <c r="AM125" s="231"/>
    </row>
    <row r="126" spans="2:39" s="738" customFormat="1" ht="18" customHeight="1">
      <c r="B126" s="743" t="s">
        <v>2597</v>
      </c>
      <c r="C126" s="18" t="s">
        <v>2511</v>
      </c>
      <c r="D126" s="754">
        <v>50</v>
      </c>
      <c r="G126" s="231"/>
      <c r="H126" s="231"/>
      <c r="I126" s="231"/>
      <c r="J126" s="231"/>
      <c r="K126" s="231"/>
      <c r="L126" s="231"/>
      <c r="M126" s="231"/>
      <c r="N126" s="231"/>
      <c r="O126" s="231"/>
      <c r="P126" s="231"/>
      <c r="Q126" s="231"/>
      <c r="R126" s="231"/>
      <c r="S126" s="231"/>
      <c r="T126" s="231"/>
      <c r="U126" s="231"/>
      <c r="V126" s="231"/>
      <c r="W126" s="231"/>
      <c r="X126" s="231"/>
      <c r="Y126" s="231"/>
      <c r="Z126" s="231"/>
      <c r="AA126" s="231"/>
      <c r="AB126" s="231"/>
      <c r="AC126" s="231"/>
      <c r="AD126" s="231"/>
      <c r="AE126" s="231"/>
      <c r="AF126" s="231"/>
      <c r="AG126" s="231"/>
      <c r="AH126" s="231"/>
      <c r="AI126" s="231"/>
      <c r="AJ126" s="231"/>
      <c r="AK126" s="231"/>
      <c r="AL126" s="231"/>
      <c r="AM126" s="231"/>
    </row>
    <row r="127" spans="2:39" s="738" customFormat="1" ht="18" customHeight="1">
      <c r="B127" s="743" t="s">
        <v>2598</v>
      </c>
      <c r="C127" s="18" t="s">
        <v>2511</v>
      </c>
      <c r="D127" s="754">
        <v>80</v>
      </c>
      <c r="G127" s="231"/>
      <c r="H127" s="231"/>
      <c r="I127" s="231"/>
      <c r="J127" s="231"/>
      <c r="K127" s="231"/>
      <c r="L127" s="231"/>
      <c r="M127" s="231"/>
      <c r="N127" s="231"/>
      <c r="O127" s="231"/>
      <c r="P127" s="231"/>
      <c r="Q127" s="231"/>
      <c r="R127" s="231"/>
      <c r="S127" s="231"/>
      <c r="T127" s="231"/>
      <c r="U127" s="231"/>
      <c r="V127" s="231"/>
      <c r="W127" s="231"/>
      <c r="X127" s="231"/>
      <c r="Y127" s="231"/>
      <c r="Z127" s="231"/>
      <c r="AA127" s="231"/>
      <c r="AB127" s="231"/>
      <c r="AC127" s="231"/>
      <c r="AD127" s="231"/>
      <c r="AE127" s="231"/>
      <c r="AF127" s="231"/>
      <c r="AG127" s="231"/>
      <c r="AH127" s="231"/>
      <c r="AI127" s="231"/>
      <c r="AJ127" s="231"/>
      <c r="AK127" s="231"/>
      <c r="AL127" s="231"/>
      <c r="AM127" s="231"/>
    </row>
    <row r="128" spans="2:39" s="738" customFormat="1" ht="18" customHeight="1">
      <c r="B128" s="743" t="s">
        <v>2599</v>
      </c>
      <c r="C128" s="18" t="s">
        <v>2511</v>
      </c>
      <c r="D128" s="754">
        <v>90</v>
      </c>
      <c r="G128" s="231"/>
      <c r="H128" s="231"/>
      <c r="I128" s="231"/>
      <c r="J128" s="231"/>
      <c r="K128" s="231"/>
      <c r="L128" s="231"/>
      <c r="M128" s="231"/>
      <c r="N128" s="231"/>
      <c r="O128" s="231"/>
      <c r="P128" s="231"/>
      <c r="Q128" s="231"/>
      <c r="R128" s="231"/>
      <c r="S128" s="231"/>
      <c r="T128" s="231"/>
      <c r="U128" s="231"/>
      <c r="V128" s="231"/>
      <c r="W128" s="231"/>
      <c r="X128" s="231"/>
      <c r="Y128" s="231"/>
      <c r="Z128" s="231"/>
      <c r="AA128" s="231"/>
      <c r="AB128" s="231"/>
      <c r="AC128" s="231"/>
      <c r="AD128" s="231"/>
      <c r="AE128" s="231"/>
      <c r="AF128" s="231"/>
      <c r="AG128" s="231"/>
      <c r="AH128" s="231"/>
      <c r="AI128" s="231"/>
      <c r="AJ128" s="231"/>
      <c r="AK128" s="231"/>
      <c r="AL128" s="231"/>
      <c r="AM128" s="231"/>
    </row>
    <row r="129" spans="5:6">
      <c r="E129" s="738"/>
      <c r="F129" s="738"/>
    </row>
    <row r="130" spans="5:6">
      <c r="E130" s="738"/>
      <c r="F130" s="738"/>
    </row>
    <row r="131" spans="5:6">
      <c r="E131" s="738"/>
      <c r="F131" s="738"/>
    </row>
    <row r="132" spans="5:6">
      <c r="E132" s="738"/>
      <c r="F132" s="738"/>
    </row>
  </sheetData>
  <sheetProtection algorithmName="SHA-512" hashValue="04UPQQhWmAkm4QJD3KUa6SXMWpzmXu5eEGEi+8jJzdHm/nwHPNoxfuYwhVx7PsoiEISUDv2Fxfs+ZoYONhNgcQ==" saltValue="mz7/kRt9Uf2tEXFqAOBYgg==" spinCount="100000" sheet="1" objects="1" scenarios="1" autoFilter="0"/>
  <phoneticPr fontId="21" type="noConversion"/>
  <hyperlinks>
    <hyperlink ref="C2" location="RCE_Summary" display="RCE Summary" xr:uid="{FE5D8E53-EE5D-4239-A23C-9EA266386880}"/>
    <hyperlink ref="E14" r:id="rId1" xr:uid="{56FEA832-7D2F-4AB3-8028-FB3084E9CE65}"/>
    <hyperlink ref="E15" r:id="rId2" xr:uid="{F935791B-5964-4F39-A76A-0EDBAE379935}"/>
  </hyperlinks>
  <pageMargins left="0.7" right="0.7" top="0.75" bottom="0.75" header="0.3" footer="0.3"/>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CB3BD7-2CBD-42A5-BE20-3E4A196F68DE}">
  <sheetPr codeName="Sheet3">
    <tabColor theme="5" tint="0.39997558519241921"/>
  </sheetPr>
  <dimension ref="B2:F137"/>
  <sheetViews>
    <sheetView showGridLines="0" zoomScaleNormal="100" workbookViewId="0">
      <pane ySplit="3" topLeftCell="A4" activePane="bottomLeft" state="frozen"/>
      <selection activeCell="F272" sqref="F272"/>
      <selection pane="bottomLeft"/>
    </sheetView>
  </sheetViews>
  <sheetFormatPr defaultColWidth="8.7109375" defaultRowHeight="12.75"/>
  <cols>
    <col min="1" max="1" width="2.85546875" style="231" customWidth="1"/>
    <col min="2" max="2" width="71.7109375" style="231" customWidth="1"/>
    <col min="3" max="3" width="12.28515625" style="788" customWidth="1"/>
    <col min="4" max="4" width="15.85546875" style="231" customWidth="1"/>
    <col min="5" max="5" width="59.85546875" style="231" bestFit="1" customWidth="1"/>
    <col min="6" max="6" width="74.42578125" style="231" customWidth="1"/>
    <col min="7" max="16384" width="8.7109375" style="231"/>
  </cols>
  <sheetData>
    <row r="2" spans="2:6">
      <c r="B2" s="737" t="str">
        <f>Name_main</f>
        <v>Rehabilitation Cost Estimate Tool - Mining New South Wales</v>
      </c>
      <c r="C2" s="775" t="s">
        <v>2600</v>
      </c>
      <c r="D2" s="259" t="s">
        <v>1</v>
      </c>
    </row>
    <row r="3" spans="2:6" ht="15.95" customHeight="1">
      <c r="B3" s="776" t="s">
        <v>957</v>
      </c>
      <c r="C3" s="776" t="s">
        <v>2225</v>
      </c>
      <c r="D3" s="776" t="s">
        <v>353</v>
      </c>
      <c r="E3" s="776" t="s">
        <v>324</v>
      </c>
      <c r="F3" s="776" t="s">
        <v>2601</v>
      </c>
    </row>
    <row r="4" spans="2:6" ht="15.95" customHeight="1">
      <c r="B4" s="777" t="s">
        <v>2602</v>
      </c>
      <c r="C4" s="231"/>
    </row>
    <row r="5" spans="2:6" ht="15" customHeight="1">
      <c r="B5" s="778" t="s">
        <v>312</v>
      </c>
      <c r="C5" s="779">
        <v>2.5</v>
      </c>
      <c r="D5" s="744" t="s">
        <v>321</v>
      </c>
      <c r="E5" s="254"/>
      <c r="F5" s="254"/>
    </row>
    <row r="6" spans="2:6" ht="15" customHeight="1">
      <c r="B6" s="778" t="s">
        <v>313</v>
      </c>
      <c r="C6" s="779">
        <v>2</v>
      </c>
      <c r="D6" s="744" t="s">
        <v>321</v>
      </c>
      <c r="E6" s="254"/>
      <c r="F6" s="254"/>
    </row>
    <row r="7" spans="2:6" ht="15" customHeight="1">
      <c r="B7" s="778" t="s">
        <v>314</v>
      </c>
      <c r="C7" s="779">
        <v>50</v>
      </c>
      <c r="D7" s="744" t="s">
        <v>321</v>
      </c>
      <c r="E7" s="254"/>
      <c r="F7" s="254"/>
    </row>
    <row r="8" spans="2:6" ht="15" customHeight="1">
      <c r="B8" s="778" t="s">
        <v>315</v>
      </c>
      <c r="C8" s="779">
        <v>10</v>
      </c>
      <c r="D8" s="744" t="s">
        <v>321</v>
      </c>
      <c r="E8" s="254"/>
      <c r="F8" s="254"/>
    </row>
    <row r="9" spans="2:6" ht="15" customHeight="1">
      <c r="B9" s="778" t="s">
        <v>316</v>
      </c>
      <c r="C9" s="779">
        <v>5</v>
      </c>
      <c r="D9" s="744" t="s">
        <v>321</v>
      </c>
      <c r="E9" s="254"/>
      <c r="F9" s="254"/>
    </row>
    <row r="10" spans="2:6" ht="15" customHeight="1">
      <c r="B10" s="778" t="s">
        <v>317</v>
      </c>
      <c r="C10" s="779">
        <v>0.3</v>
      </c>
      <c r="D10" s="744" t="s">
        <v>321</v>
      </c>
      <c r="E10" s="254"/>
      <c r="F10" s="254"/>
    </row>
    <row r="11" spans="2:6" ht="15" customHeight="1">
      <c r="B11" s="778" t="s">
        <v>318</v>
      </c>
      <c r="C11" s="779">
        <v>0.1</v>
      </c>
      <c r="D11" s="744" t="s">
        <v>321</v>
      </c>
      <c r="E11" s="254"/>
      <c r="F11" s="254"/>
    </row>
    <row r="12" spans="2:6" ht="15" customHeight="1">
      <c r="B12" s="778" t="s">
        <v>319</v>
      </c>
      <c r="C12" s="779">
        <v>0.1</v>
      </c>
      <c r="D12" s="744" t="s">
        <v>321</v>
      </c>
      <c r="E12" s="254"/>
      <c r="F12" s="254"/>
    </row>
    <row r="13" spans="2:6" ht="15" customHeight="1">
      <c r="B13" s="248" t="s">
        <v>347</v>
      </c>
      <c r="C13" s="779">
        <v>7</v>
      </c>
      <c r="D13" s="744" t="s">
        <v>2603</v>
      </c>
      <c r="E13" s="254"/>
      <c r="F13" s="254"/>
    </row>
    <row r="14" spans="2:6" ht="15" customHeight="1">
      <c r="B14" s="248" t="s">
        <v>346</v>
      </c>
      <c r="C14" s="780">
        <v>5</v>
      </c>
      <c r="D14" s="745" t="s">
        <v>2603</v>
      </c>
      <c r="E14" s="254"/>
      <c r="F14" s="254"/>
    </row>
    <row r="15" spans="2:6" ht="15" customHeight="1">
      <c r="B15" s="248" t="s">
        <v>441</v>
      </c>
      <c r="C15" s="780">
        <v>0</v>
      </c>
      <c r="D15" s="745" t="s">
        <v>2603</v>
      </c>
      <c r="E15" s="254"/>
      <c r="F15" s="254"/>
    </row>
    <row r="16" spans="2:6" ht="15" customHeight="1">
      <c r="B16" s="248" t="s">
        <v>348</v>
      </c>
      <c r="C16" s="781">
        <v>150</v>
      </c>
      <c r="D16" s="745" t="s">
        <v>2604</v>
      </c>
      <c r="E16" s="254"/>
      <c r="F16" s="254"/>
    </row>
    <row r="17" spans="2:6" ht="15" customHeight="1">
      <c r="B17" s="248" t="s">
        <v>349</v>
      </c>
      <c r="C17" s="781">
        <v>75</v>
      </c>
      <c r="D17" s="745" t="s">
        <v>2605</v>
      </c>
      <c r="E17" s="254"/>
      <c r="F17" s="254"/>
    </row>
    <row r="18" spans="2:6" ht="15" customHeight="1">
      <c r="B18" s="248" t="s">
        <v>661</v>
      </c>
      <c r="C18" s="781">
        <v>42.5</v>
      </c>
      <c r="D18" s="745" t="s">
        <v>2603</v>
      </c>
      <c r="E18" s="782" t="s">
        <v>2606</v>
      </c>
      <c r="F18" s="254" t="s">
        <v>2607</v>
      </c>
    </row>
    <row r="19" spans="2:6" ht="15" customHeight="1">
      <c r="B19" s="248" t="s">
        <v>662</v>
      </c>
      <c r="C19" s="781">
        <v>12.5</v>
      </c>
      <c r="D19" s="745" t="s">
        <v>2603</v>
      </c>
      <c r="E19" s="782" t="s">
        <v>2606</v>
      </c>
      <c r="F19" s="254" t="s">
        <v>2607</v>
      </c>
    </row>
    <row r="20" spans="2:6" ht="15" customHeight="1">
      <c r="B20" s="248" t="s">
        <v>2410</v>
      </c>
      <c r="C20" s="781">
        <v>42.5</v>
      </c>
      <c r="D20" s="745" t="s">
        <v>2603</v>
      </c>
      <c r="E20" s="782" t="s">
        <v>2606</v>
      </c>
      <c r="F20" s="254" t="s">
        <v>2607</v>
      </c>
    </row>
    <row r="21" spans="2:6" ht="15" customHeight="1">
      <c r="B21" s="248" t="s">
        <v>2411</v>
      </c>
      <c r="C21" s="781">
        <v>12.5</v>
      </c>
      <c r="D21" s="745" t="s">
        <v>2603</v>
      </c>
      <c r="E21" s="782" t="s">
        <v>2606</v>
      </c>
      <c r="F21" s="254" t="s">
        <v>2607</v>
      </c>
    </row>
    <row r="22" spans="2:6" ht="15" customHeight="1">
      <c r="B22" s="248" t="s">
        <v>2412</v>
      </c>
      <c r="C22" s="781">
        <v>42.5</v>
      </c>
      <c r="D22" s="745" t="s">
        <v>2603</v>
      </c>
      <c r="E22" s="782" t="s">
        <v>2606</v>
      </c>
      <c r="F22" s="254" t="s">
        <v>2607</v>
      </c>
    </row>
    <row r="23" spans="2:6" ht="15" customHeight="1">
      <c r="B23" s="248" t="s">
        <v>2413</v>
      </c>
      <c r="C23" s="781">
        <v>12.5</v>
      </c>
      <c r="D23" s="745" t="s">
        <v>2603</v>
      </c>
      <c r="E23" s="782" t="s">
        <v>2606</v>
      </c>
      <c r="F23" s="254" t="s">
        <v>2607</v>
      </c>
    </row>
    <row r="24" spans="2:6" ht="15" customHeight="1">
      <c r="B24" s="248" t="s">
        <v>350</v>
      </c>
      <c r="C24" s="781">
        <v>42.5</v>
      </c>
      <c r="D24" s="745" t="s">
        <v>2603</v>
      </c>
      <c r="E24" s="782" t="s">
        <v>2606</v>
      </c>
      <c r="F24" s="254" t="s">
        <v>2607</v>
      </c>
    </row>
    <row r="25" spans="2:6" ht="15" customHeight="1">
      <c r="B25" s="248" t="s">
        <v>351</v>
      </c>
      <c r="C25" s="781">
        <v>12.5</v>
      </c>
      <c r="D25" s="745" t="s">
        <v>2603</v>
      </c>
      <c r="E25" s="782" t="s">
        <v>2606</v>
      </c>
      <c r="F25" s="254" t="s">
        <v>2607</v>
      </c>
    </row>
    <row r="26" spans="2:6" ht="15" customHeight="1">
      <c r="B26" s="248" t="s">
        <v>2608</v>
      </c>
      <c r="C26" s="783" t="s">
        <v>654</v>
      </c>
      <c r="D26" s="784" t="s">
        <v>411</v>
      </c>
      <c r="E26" s="254"/>
      <c r="F26" s="782" t="s">
        <v>2609</v>
      </c>
    </row>
    <row r="27" spans="2:6" ht="15.95" customHeight="1">
      <c r="B27" s="777" t="s">
        <v>2610</v>
      </c>
      <c r="C27" s="231"/>
    </row>
    <row r="28" spans="2:6" ht="15" customHeight="1">
      <c r="B28" s="778" t="s">
        <v>2611</v>
      </c>
      <c r="C28" s="785">
        <v>150</v>
      </c>
      <c r="D28" s="744" t="s">
        <v>613</v>
      </c>
      <c r="E28" s="254"/>
      <c r="F28" s="254"/>
    </row>
    <row r="29" spans="2:6" ht="15" customHeight="1">
      <c r="B29" s="778" t="s">
        <v>2612</v>
      </c>
      <c r="C29" s="785">
        <v>250</v>
      </c>
      <c r="D29" s="744" t="s">
        <v>613</v>
      </c>
      <c r="E29" s="254"/>
      <c r="F29" s="254"/>
    </row>
    <row r="30" spans="2:6" ht="15" customHeight="1">
      <c r="B30" s="778" t="s">
        <v>2613</v>
      </c>
      <c r="C30" s="785">
        <v>200</v>
      </c>
      <c r="D30" s="744" t="s">
        <v>613</v>
      </c>
      <c r="E30" s="254"/>
      <c r="F30" s="254"/>
    </row>
    <row r="31" spans="2:6" ht="15" customHeight="1">
      <c r="B31" s="778" t="s">
        <v>2614</v>
      </c>
      <c r="C31" s="785">
        <v>250</v>
      </c>
      <c r="D31" s="744" t="s">
        <v>613</v>
      </c>
      <c r="E31" s="254"/>
      <c r="F31" s="254"/>
    </row>
    <row r="32" spans="2:6" ht="15" customHeight="1">
      <c r="B32" s="778" t="s">
        <v>2615</v>
      </c>
      <c r="C32" s="781">
        <v>150</v>
      </c>
      <c r="D32" s="745" t="s">
        <v>613</v>
      </c>
      <c r="E32" s="254"/>
      <c r="F32" s="254"/>
    </row>
    <row r="33" spans="2:6" ht="15.95" customHeight="1">
      <c r="B33" s="786" t="s">
        <v>2616</v>
      </c>
      <c r="C33" s="231"/>
    </row>
    <row r="34" spans="2:6" ht="15">
      <c r="B34" s="248" t="s">
        <v>2617</v>
      </c>
      <c r="C34" s="787">
        <v>1</v>
      </c>
      <c r="D34" s="745" t="s">
        <v>2618</v>
      </c>
      <c r="E34" s="254"/>
      <c r="F34" s="254"/>
    </row>
    <row r="35" spans="2:6" ht="15">
      <c r="B35" s="248" t="s">
        <v>2619</v>
      </c>
      <c r="C35" s="787">
        <v>1</v>
      </c>
      <c r="D35" s="745" t="s">
        <v>2620</v>
      </c>
      <c r="E35" s="254"/>
      <c r="F35" s="254"/>
    </row>
    <row r="36" spans="2:6" ht="15">
      <c r="B36" s="786" t="s">
        <v>2621</v>
      </c>
    </row>
    <row r="37" spans="2:6" ht="15">
      <c r="B37" s="248" t="s">
        <v>2622</v>
      </c>
      <c r="C37" s="789">
        <v>50</v>
      </c>
      <c r="D37" s="745" t="s">
        <v>219</v>
      </c>
      <c r="E37" s="254"/>
      <c r="F37" s="254"/>
    </row>
    <row r="38" spans="2:6" ht="15">
      <c r="B38" s="248" t="s">
        <v>2623</v>
      </c>
      <c r="C38" s="790">
        <v>5</v>
      </c>
      <c r="D38" s="745" t="s">
        <v>2624</v>
      </c>
      <c r="E38" s="254"/>
      <c r="F38" s="254"/>
    </row>
    <row r="39" spans="2:6" ht="15.95" customHeight="1">
      <c r="B39" s="777" t="s">
        <v>943</v>
      </c>
      <c r="C39" s="231"/>
    </row>
    <row r="40" spans="2:6" ht="15" customHeight="1">
      <c r="B40" s="248" t="s">
        <v>990</v>
      </c>
      <c r="C40" s="791">
        <v>2.0999999999999999E-3</v>
      </c>
      <c r="D40" s="744" t="s">
        <v>2625</v>
      </c>
      <c r="E40" s="254"/>
      <c r="F40" s="254"/>
    </row>
    <row r="41" spans="2:6" ht="15" customHeight="1">
      <c r="B41" s="248" t="s">
        <v>2626</v>
      </c>
      <c r="C41" s="779">
        <v>1.2</v>
      </c>
      <c r="D41" s="744" t="s">
        <v>217</v>
      </c>
      <c r="E41" s="254"/>
      <c r="F41" s="254"/>
    </row>
    <row r="42" spans="2:6" ht="15" customHeight="1">
      <c r="B42" s="248" t="s">
        <v>2627</v>
      </c>
      <c r="C42" s="792">
        <v>0.5</v>
      </c>
      <c r="D42" s="744" t="s">
        <v>211</v>
      </c>
      <c r="E42" s="254"/>
      <c r="F42" s="254"/>
    </row>
    <row r="43" spans="2:6" ht="15" customHeight="1">
      <c r="B43" s="248" t="s">
        <v>2628</v>
      </c>
      <c r="C43" s="792">
        <v>0.3</v>
      </c>
      <c r="D43" s="744" t="s">
        <v>211</v>
      </c>
      <c r="E43" s="254"/>
      <c r="F43" s="254"/>
    </row>
    <row r="44" spans="2:6" ht="15" customHeight="1">
      <c r="B44" s="248" t="s">
        <v>2629</v>
      </c>
      <c r="C44" s="792">
        <v>0</v>
      </c>
      <c r="D44" s="744" t="s">
        <v>211</v>
      </c>
      <c r="E44" s="254"/>
      <c r="F44" s="254"/>
    </row>
    <row r="45" spans="2:6" ht="15" customHeight="1">
      <c r="B45" s="248" t="s">
        <v>2630</v>
      </c>
      <c r="C45" s="785">
        <v>150</v>
      </c>
      <c r="D45" s="744" t="s">
        <v>613</v>
      </c>
      <c r="E45" s="254"/>
      <c r="F45" s="254"/>
    </row>
    <row r="46" spans="2:6" ht="15" customHeight="1">
      <c r="B46" s="248" t="s">
        <v>2631</v>
      </c>
      <c r="C46" s="785">
        <v>10</v>
      </c>
      <c r="D46" s="744" t="s">
        <v>211</v>
      </c>
      <c r="E46" s="254"/>
      <c r="F46" s="254"/>
    </row>
    <row r="47" spans="2:6" ht="15" customHeight="1">
      <c r="B47" s="248" t="s">
        <v>968</v>
      </c>
      <c r="C47" s="793">
        <v>0.2</v>
      </c>
      <c r="D47" s="745"/>
      <c r="E47" s="254"/>
      <c r="F47" s="782" t="s">
        <v>2632</v>
      </c>
    </row>
    <row r="48" spans="2:6" ht="15.95" customHeight="1">
      <c r="B48" s="777" t="s">
        <v>2633</v>
      </c>
      <c r="C48" s="231"/>
    </row>
    <row r="49" spans="2:6" ht="15" customHeight="1">
      <c r="B49" s="778" t="s">
        <v>2634</v>
      </c>
      <c r="C49" s="785">
        <v>10</v>
      </c>
      <c r="D49" s="744" t="s">
        <v>2635</v>
      </c>
      <c r="E49" s="254"/>
      <c r="F49" s="254"/>
    </row>
    <row r="50" spans="2:6" s="683" customFormat="1" ht="15">
      <c r="B50" s="778" t="s">
        <v>442</v>
      </c>
      <c r="C50" s="785">
        <v>1000</v>
      </c>
      <c r="D50" s="744" t="s">
        <v>2636</v>
      </c>
      <c r="E50" s="254"/>
      <c r="F50" s="254"/>
    </row>
    <row r="51" spans="2:6" s="683" customFormat="1" ht="15">
      <c r="B51" s="778" t="s">
        <v>442</v>
      </c>
      <c r="C51" s="785">
        <v>1000</v>
      </c>
      <c r="D51" s="744" t="s">
        <v>2637</v>
      </c>
      <c r="E51" s="254"/>
      <c r="F51" s="254"/>
    </row>
    <row r="52" spans="2:6" s="683" customFormat="1" ht="15">
      <c r="B52" s="778" t="s">
        <v>214</v>
      </c>
      <c r="C52" s="785">
        <v>10000</v>
      </c>
      <c r="D52" s="744" t="s">
        <v>2638</v>
      </c>
      <c r="E52" s="254"/>
      <c r="F52" s="254"/>
    </row>
    <row r="53" spans="2:6" s="683" customFormat="1" ht="15">
      <c r="B53" s="778" t="s">
        <v>2519</v>
      </c>
      <c r="C53" s="785">
        <v>60</v>
      </c>
      <c r="D53" s="744" t="s">
        <v>2639</v>
      </c>
      <c r="E53" s="254"/>
      <c r="F53" s="254"/>
    </row>
    <row r="54" spans="2:6" s="683" customFormat="1" ht="15">
      <c r="B54" s="778" t="s">
        <v>2519</v>
      </c>
      <c r="C54" s="785">
        <v>60</v>
      </c>
      <c r="D54" s="744" t="s">
        <v>2640</v>
      </c>
      <c r="E54" s="254"/>
      <c r="F54" s="254"/>
    </row>
    <row r="55" spans="2:6" s="683" customFormat="1" ht="15">
      <c r="B55" s="248" t="s">
        <v>2519</v>
      </c>
      <c r="C55" s="785">
        <v>24</v>
      </c>
      <c r="D55" s="744" t="s">
        <v>2641</v>
      </c>
      <c r="E55" s="254"/>
      <c r="F55" s="254"/>
    </row>
    <row r="56" spans="2:6" s="683" customFormat="1" ht="15">
      <c r="B56" s="778" t="s">
        <v>322</v>
      </c>
      <c r="C56" s="785">
        <v>1000</v>
      </c>
      <c r="D56" s="744" t="s">
        <v>2642</v>
      </c>
      <c r="E56" s="254"/>
      <c r="F56" s="254"/>
    </row>
    <row r="57" spans="2:6" s="683" customFormat="1" ht="15">
      <c r="B57" s="778" t="s">
        <v>322</v>
      </c>
      <c r="C57" s="785">
        <v>1000</v>
      </c>
      <c r="D57" s="744" t="s">
        <v>2643</v>
      </c>
      <c r="E57" s="254"/>
      <c r="F57" s="254"/>
    </row>
    <row r="58" spans="2:6" s="683" customFormat="1" ht="15">
      <c r="B58" s="248" t="s">
        <v>322</v>
      </c>
      <c r="C58" s="794">
        <v>1000000</v>
      </c>
      <c r="D58" s="744" t="s">
        <v>2644</v>
      </c>
      <c r="E58" s="254"/>
      <c r="F58" s="254"/>
    </row>
    <row r="59" spans="2:6" s="683" customFormat="1" ht="15">
      <c r="B59" s="778" t="s">
        <v>2510</v>
      </c>
      <c r="C59" s="781">
        <v>16.666666666666668</v>
      </c>
      <c r="D59" s="745" t="s">
        <v>2645</v>
      </c>
      <c r="E59" s="254"/>
      <c r="F59" s="254"/>
    </row>
    <row r="60" spans="2:6" s="683" customFormat="1" ht="15">
      <c r="B60" s="248" t="s">
        <v>307</v>
      </c>
      <c r="C60" s="795">
        <v>1000000</v>
      </c>
      <c r="D60" s="745" t="s">
        <v>2646</v>
      </c>
      <c r="E60" s="254"/>
      <c r="F60" s="254"/>
    </row>
    <row r="61" spans="2:6" s="683" customFormat="1" ht="15">
      <c r="B61" s="248" t="s">
        <v>307</v>
      </c>
      <c r="C61" s="795">
        <v>1000</v>
      </c>
      <c r="D61" s="745" t="s">
        <v>2647</v>
      </c>
      <c r="E61" s="254"/>
      <c r="F61" s="254"/>
    </row>
    <row r="62" spans="2:6" ht="15.95" customHeight="1">
      <c r="B62" s="777" t="s">
        <v>2648</v>
      </c>
      <c r="C62" s="231"/>
    </row>
    <row r="63" spans="2:6" ht="15" customHeight="1">
      <c r="B63" s="778" t="s">
        <v>2649</v>
      </c>
      <c r="C63" s="779">
        <v>18</v>
      </c>
      <c r="D63" s="744" t="s">
        <v>923</v>
      </c>
      <c r="E63" s="254"/>
      <c r="F63" s="254"/>
    </row>
    <row r="64" spans="2:6" ht="15" customHeight="1">
      <c r="B64" s="778" t="s">
        <v>2650</v>
      </c>
      <c r="C64" s="779">
        <v>9</v>
      </c>
      <c r="D64" s="744" t="s">
        <v>2651</v>
      </c>
      <c r="E64" s="254"/>
      <c r="F64" s="254"/>
    </row>
    <row r="65" spans="2:6" ht="15" customHeight="1">
      <c r="B65" s="778" t="s">
        <v>2652</v>
      </c>
      <c r="C65" s="780">
        <v>10</v>
      </c>
      <c r="D65" s="745" t="s">
        <v>2651</v>
      </c>
      <c r="E65" s="254"/>
      <c r="F65" s="254"/>
    </row>
    <row r="66" spans="2:6" ht="15" customHeight="1">
      <c r="B66" s="248" t="s">
        <v>2653</v>
      </c>
      <c r="C66" s="780"/>
      <c r="D66" s="745"/>
      <c r="E66" s="254"/>
      <c r="F66" s="254"/>
    </row>
    <row r="67" spans="2:6" ht="15.95" customHeight="1">
      <c r="B67" s="777" t="s">
        <v>2654</v>
      </c>
      <c r="C67" s="231"/>
    </row>
    <row r="68" spans="2:6" ht="15" customHeight="1">
      <c r="B68" s="778" t="s">
        <v>2655</v>
      </c>
      <c r="C68" s="779">
        <v>9.1999999999999993</v>
      </c>
      <c r="D68" s="744" t="s">
        <v>2656</v>
      </c>
      <c r="E68" s="254"/>
      <c r="F68" s="254"/>
    </row>
    <row r="69" spans="2:6" ht="15" customHeight="1">
      <c r="B69" s="778" t="s">
        <v>2657</v>
      </c>
      <c r="C69" s="779">
        <v>4.5</v>
      </c>
      <c r="D69" s="744" t="s">
        <v>2656</v>
      </c>
      <c r="E69" s="254"/>
      <c r="F69" s="254"/>
    </row>
    <row r="70" spans="2:6" ht="15" customHeight="1">
      <c r="B70" s="778" t="s">
        <v>2658</v>
      </c>
      <c r="C70" s="779">
        <v>5.4</v>
      </c>
      <c r="D70" s="744" t="s">
        <v>2656</v>
      </c>
      <c r="E70" s="254"/>
      <c r="F70" s="254"/>
    </row>
    <row r="71" spans="2:6" ht="15" customHeight="1">
      <c r="B71" s="778" t="s">
        <v>2659</v>
      </c>
      <c r="C71" s="779">
        <v>2.4</v>
      </c>
      <c r="D71" s="744" t="s">
        <v>2660</v>
      </c>
      <c r="E71" s="254"/>
      <c r="F71" s="254"/>
    </row>
    <row r="72" spans="2:6" ht="15" customHeight="1">
      <c r="B72" s="778" t="s">
        <v>2661</v>
      </c>
      <c r="C72" s="779">
        <v>8</v>
      </c>
      <c r="D72" s="744" t="s">
        <v>2660</v>
      </c>
      <c r="E72" s="254" t="s">
        <v>2662</v>
      </c>
      <c r="F72" s="254" t="s">
        <v>2663</v>
      </c>
    </row>
    <row r="73" spans="2:6" ht="15" customHeight="1">
      <c r="B73" s="778" t="s">
        <v>2664</v>
      </c>
      <c r="C73" s="779">
        <v>2.73</v>
      </c>
      <c r="D73" s="744" t="s">
        <v>2660</v>
      </c>
      <c r="E73" s="254" t="s">
        <v>2665</v>
      </c>
      <c r="F73" s="254"/>
    </row>
    <row r="74" spans="2:6" ht="15" customHeight="1">
      <c r="B74" s="248" t="s">
        <v>2666</v>
      </c>
      <c r="C74" s="792">
        <v>0.01</v>
      </c>
      <c r="D74" s="744" t="s">
        <v>991</v>
      </c>
      <c r="E74" s="254"/>
      <c r="F74" s="254"/>
    </row>
    <row r="75" spans="2:6" ht="15" customHeight="1">
      <c r="B75" s="248" t="s">
        <v>2667</v>
      </c>
      <c r="C75" s="796">
        <v>2E-3</v>
      </c>
      <c r="D75" s="744" t="s">
        <v>2668</v>
      </c>
      <c r="E75" s="254"/>
      <c r="F75" s="254"/>
    </row>
    <row r="76" spans="2:6" ht="15" customHeight="1">
      <c r="B76" s="778" t="s">
        <v>2669</v>
      </c>
      <c r="C76" s="779">
        <v>1.2</v>
      </c>
      <c r="D76" s="744" t="s">
        <v>2660</v>
      </c>
      <c r="E76" s="254"/>
      <c r="F76" s="254"/>
    </row>
    <row r="77" spans="2:6" ht="15" customHeight="1">
      <c r="B77" s="778" t="s">
        <v>2670</v>
      </c>
      <c r="C77" s="780">
        <v>0.4</v>
      </c>
      <c r="D77" s="745" t="s">
        <v>2671</v>
      </c>
      <c r="E77" s="254"/>
      <c r="F77" s="254"/>
    </row>
    <row r="78" spans="2:6" ht="15.95" customHeight="1">
      <c r="B78" s="777" t="s">
        <v>2672</v>
      </c>
      <c r="C78" s="231"/>
    </row>
    <row r="79" spans="2:6" ht="15">
      <c r="B79" s="248" t="s">
        <v>2673</v>
      </c>
      <c r="C79" s="780">
        <v>2.5</v>
      </c>
      <c r="D79" s="745" t="s">
        <v>211</v>
      </c>
      <c r="E79" s="254"/>
      <c r="F79" s="254"/>
    </row>
    <row r="80" spans="2:6" ht="15">
      <c r="B80" s="248" t="s">
        <v>2674</v>
      </c>
      <c r="C80" s="780">
        <v>2</v>
      </c>
      <c r="D80" s="745" t="s">
        <v>211</v>
      </c>
      <c r="E80" s="254"/>
      <c r="F80" s="254"/>
    </row>
    <row r="81" spans="2:6" ht="15">
      <c r="B81" s="248" t="s">
        <v>2675</v>
      </c>
      <c r="C81" s="780">
        <v>5</v>
      </c>
      <c r="D81" s="745" t="s">
        <v>211</v>
      </c>
      <c r="E81" s="254"/>
      <c r="F81" s="254"/>
    </row>
    <row r="82" spans="2:6" ht="15">
      <c r="B82" s="248" t="s">
        <v>2676</v>
      </c>
      <c r="C82" s="793">
        <v>0.15</v>
      </c>
      <c r="D82" s="745"/>
      <c r="E82" s="254"/>
      <c r="F82" s="254"/>
    </row>
    <row r="83" spans="2:6" ht="15">
      <c r="B83" s="248" t="s">
        <v>2677</v>
      </c>
      <c r="C83" s="797">
        <v>1.1000000000000001</v>
      </c>
      <c r="D83" s="745"/>
      <c r="E83" s="254"/>
      <c r="F83" s="254"/>
    </row>
    <row r="84" spans="2:6" ht="15" customHeight="1">
      <c r="B84" s="798" t="s">
        <v>2678</v>
      </c>
      <c r="C84" s="231"/>
    </row>
    <row r="85" spans="2:6" ht="15" customHeight="1">
      <c r="B85" s="778" t="s">
        <v>2679</v>
      </c>
      <c r="C85" s="785">
        <v>250</v>
      </c>
      <c r="D85" s="744" t="s">
        <v>613</v>
      </c>
      <c r="E85" s="254"/>
      <c r="F85" s="254"/>
    </row>
    <row r="86" spans="2:6" ht="15" customHeight="1">
      <c r="B86" s="778" t="s">
        <v>2680</v>
      </c>
      <c r="C86" s="780">
        <v>25</v>
      </c>
      <c r="D86" s="745" t="s">
        <v>211</v>
      </c>
      <c r="E86" s="254"/>
      <c r="F86" s="254"/>
    </row>
    <row r="87" spans="2:6" ht="15" customHeight="1">
      <c r="B87" s="778" t="s">
        <v>2681</v>
      </c>
      <c r="C87" s="781">
        <v>150</v>
      </c>
      <c r="D87" s="745" t="s">
        <v>613</v>
      </c>
      <c r="E87" s="254"/>
      <c r="F87" s="254"/>
    </row>
    <row r="88" spans="2:6" ht="15" customHeight="1">
      <c r="B88" s="778" t="s">
        <v>2682</v>
      </c>
      <c r="C88" s="779">
        <v>6</v>
      </c>
      <c r="D88" s="744" t="s">
        <v>211</v>
      </c>
      <c r="E88" s="254"/>
      <c r="F88" s="254"/>
    </row>
    <row r="89" spans="2:6" ht="15" customHeight="1">
      <c r="B89" s="255" t="s">
        <v>2683</v>
      </c>
      <c r="C89" s="799">
        <v>150</v>
      </c>
      <c r="D89" s="784" t="s">
        <v>613</v>
      </c>
      <c r="E89" s="250"/>
      <c r="F89" s="254"/>
    </row>
    <row r="90" spans="2:6" ht="15" customHeight="1">
      <c r="B90" s="255" t="s">
        <v>2684</v>
      </c>
      <c r="C90" s="799">
        <v>200</v>
      </c>
      <c r="D90" s="784" t="s">
        <v>613</v>
      </c>
      <c r="E90" s="250"/>
      <c r="F90" s="254"/>
    </row>
    <row r="91" spans="2:6" ht="15" customHeight="1">
      <c r="B91" s="255" t="s">
        <v>2685</v>
      </c>
      <c r="C91" s="799">
        <v>130</v>
      </c>
      <c r="D91" s="784" t="s">
        <v>2686</v>
      </c>
      <c r="E91" s="800" t="s">
        <v>2687</v>
      </c>
      <c r="F91" s="254"/>
    </row>
    <row r="92" spans="2:6" ht="15" customHeight="1">
      <c r="B92" s="255" t="s">
        <v>2688</v>
      </c>
      <c r="C92" s="799">
        <v>60</v>
      </c>
      <c r="D92" s="784" t="s">
        <v>2656</v>
      </c>
      <c r="E92" s="800"/>
      <c r="F92" s="254"/>
    </row>
    <row r="93" spans="2:6" ht="15" customHeight="1">
      <c r="B93" s="255" t="s">
        <v>2689</v>
      </c>
      <c r="C93" s="783">
        <v>0.7</v>
      </c>
      <c r="D93" s="784" t="s">
        <v>211</v>
      </c>
      <c r="E93" s="800"/>
      <c r="F93" s="254"/>
    </row>
    <row r="94" spans="2:6" ht="15" customHeight="1">
      <c r="B94" s="255" t="s">
        <v>2690</v>
      </c>
      <c r="C94" s="783">
        <v>30</v>
      </c>
      <c r="D94" s="784" t="s">
        <v>211</v>
      </c>
      <c r="E94" s="800"/>
      <c r="F94" s="254"/>
    </row>
    <row r="95" spans="2:6" ht="15" customHeight="1">
      <c r="B95" s="255" t="s">
        <v>2691</v>
      </c>
      <c r="C95" s="799">
        <v>200</v>
      </c>
      <c r="D95" s="784" t="s">
        <v>613</v>
      </c>
      <c r="E95" s="800"/>
      <c r="F95" s="254"/>
    </row>
    <row r="96" spans="2:6" ht="15.95" customHeight="1">
      <c r="B96" s="777" t="s">
        <v>2692</v>
      </c>
      <c r="C96" s="231"/>
    </row>
    <row r="97" spans="2:6" ht="15" customHeight="1">
      <c r="B97" s="778" t="s">
        <v>2693</v>
      </c>
      <c r="C97" s="779">
        <v>1.6</v>
      </c>
      <c r="D97" s="744" t="s">
        <v>2660</v>
      </c>
      <c r="E97" s="254" t="s">
        <v>2694</v>
      </c>
      <c r="F97" s="254" t="s">
        <v>2663</v>
      </c>
    </row>
    <row r="98" spans="2:6" ht="15" customHeight="1">
      <c r="B98" s="778" t="s">
        <v>2695</v>
      </c>
      <c r="C98" s="779">
        <v>1.95</v>
      </c>
      <c r="D98" s="744" t="s">
        <v>2660</v>
      </c>
      <c r="E98" s="254" t="s">
        <v>2694</v>
      </c>
      <c r="F98" s="254"/>
    </row>
    <row r="99" spans="2:6" ht="15" customHeight="1">
      <c r="B99" s="778" t="s">
        <v>2696</v>
      </c>
      <c r="C99" s="779">
        <v>1.25</v>
      </c>
      <c r="D99" s="744"/>
      <c r="E99" s="254"/>
      <c r="F99" s="254"/>
    </row>
    <row r="100" spans="2:6" ht="15" customHeight="1">
      <c r="B100" s="778" t="s">
        <v>2697</v>
      </c>
      <c r="C100" s="779">
        <v>1.25</v>
      </c>
      <c r="D100" s="744"/>
      <c r="E100" s="254"/>
      <c r="F100" s="254"/>
    </row>
    <row r="101" spans="2:6" ht="15" customHeight="1">
      <c r="B101" s="778" t="s">
        <v>2698</v>
      </c>
      <c r="C101" s="779">
        <v>1.8</v>
      </c>
      <c r="D101" s="744" t="s">
        <v>2660</v>
      </c>
      <c r="E101" s="254" t="s">
        <v>2699</v>
      </c>
      <c r="F101" s="254" t="s">
        <v>2700</v>
      </c>
    </row>
    <row r="102" spans="2:6" ht="15" customHeight="1">
      <c r="B102" s="778" t="s">
        <v>2701</v>
      </c>
      <c r="C102" s="779">
        <v>1.25</v>
      </c>
      <c r="D102" s="744"/>
      <c r="E102" s="254"/>
      <c r="F102" s="254"/>
    </row>
    <row r="103" spans="2:6" ht="15" customHeight="1">
      <c r="B103" s="778" t="s">
        <v>2702</v>
      </c>
      <c r="C103" s="779">
        <v>1.8</v>
      </c>
      <c r="D103" s="744" t="s">
        <v>2660</v>
      </c>
      <c r="E103" s="254" t="s">
        <v>2694</v>
      </c>
      <c r="F103" s="254" t="s">
        <v>2663</v>
      </c>
    </row>
    <row r="104" spans="2:6" ht="15" customHeight="1">
      <c r="B104" s="778" t="s">
        <v>2703</v>
      </c>
      <c r="C104" s="779">
        <v>1.3</v>
      </c>
      <c r="D104" s="744"/>
      <c r="E104" s="254"/>
      <c r="F104" s="254"/>
    </row>
    <row r="105" spans="2:6" ht="15" customHeight="1">
      <c r="B105" s="248" t="s">
        <v>2704</v>
      </c>
      <c r="C105" s="779">
        <v>1.4</v>
      </c>
      <c r="D105" s="744" t="s">
        <v>2660</v>
      </c>
      <c r="E105" s="254" t="s">
        <v>2694</v>
      </c>
      <c r="F105" s="254"/>
    </row>
    <row r="106" spans="2:6" ht="15" customHeight="1">
      <c r="B106" s="778" t="s">
        <v>2705</v>
      </c>
      <c r="C106" s="779">
        <v>1.25</v>
      </c>
      <c r="D106" s="744"/>
      <c r="E106" s="254"/>
      <c r="F106" s="254" t="s">
        <v>2706</v>
      </c>
    </row>
    <row r="107" spans="2:6" ht="15" customHeight="1">
      <c r="B107" s="778" t="s">
        <v>2707</v>
      </c>
      <c r="C107" s="779">
        <v>1.6</v>
      </c>
      <c r="D107" s="744" t="s">
        <v>2660</v>
      </c>
      <c r="E107" s="254"/>
      <c r="F107" s="254"/>
    </row>
    <row r="108" spans="2:6" ht="15" customHeight="1">
      <c r="B108" s="778" t="s">
        <v>2708</v>
      </c>
      <c r="C108" s="779">
        <v>2.8</v>
      </c>
      <c r="D108" s="744" t="s">
        <v>2660</v>
      </c>
      <c r="E108" s="254" t="s">
        <v>2694</v>
      </c>
      <c r="F108" s="254"/>
    </row>
    <row r="109" spans="2:6" ht="15" customHeight="1">
      <c r="B109" s="778" t="s">
        <v>2709</v>
      </c>
      <c r="C109" s="780">
        <v>1.4</v>
      </c>
      <c r="D109" s="745"/>
      <c r="E109" s="254"/>
      <c r="F109" s="254"/>
    </row>
    <row r="110" spans="2:6" ht="15" customHeight="1">
      <c r="B110" s="248" t="s">
        <v>2710</v>
      </c>
      <c r="C110" s="780">
        <v>2.2000000000000002</v>
      </c>
      <c r="D110" s="745" t="s">
        <v>2711</v>
      </c>
      <c r="E110" s="254"/>
      <c r="F110" s="254"/>
    </row>
    <row r="111" spans="2:6" ht="15.95" customHeight="1">
      <c r="B111" s="777" t="s">
        <v>2712</v>
      </c>
      <c r="C111" s="231"/>
    </row>
    <row r="112" spans="2:6" ht="15" customHeight="1">
      <c r="B112" s="248" t="s">
        <v>2713</v>
      </c>
      <c r="C112" s="801" t="s">
        <v>654</v>
      </c>
      <c r="D112" s="745" t="s">
        <v>411</v>
      </c>
      <c r="E112" s="254"/>
      <c r="F112" s="782" t="s">
        <v>2714</v>
      </c>
    </row>
    <row r="113" spans="2:6" ht="15.95" customHeight="1">
      <c r="B113" s="777" t="s">
        <v>2715</v>
      </c>
      <c r="C113" s="231"/>
    </row>
    <row r="114" spans="2:6" ht="15" customHeight="1">
      <c r="B114" s="248" t="s">
        <v>2716</v>
      </c>
      <c r="C114" s="802">
        <v>7.5000000000000002E-4</v>
      </c>
      <c r="D114" s="744" t="s">
        <v>2625</v>
      </c>
      <c r="E114" s="254"/>
      <c r="F114" s="254"/>
    </row>
    <row r="115" spans="2:6" ht="15" customHeight="1">
      <c r="B115" s="778" t="s">
        <v>990</v>
      </c>
      <c r="C115" s="791">
        <v>2.0999999999999999E-3</v>
      </c>
      <c r="D115" s="744" t="s">
        <v>2625</v>
      </c>
      <c r="E115" s="254"/>
      <c r="F115" s="254"/>
    </row>
    <row r="116" spans="2:6" ht="15" customHeight="1">
      <c r="B116" s="248" t="s">
        <v>2717</v>
      </c>
      <c r="C116" s="779">
        <v>4</v>
      </c>
      <c r="D116" s="744" t="s">
        <v>613</v>
      </c>
      <c r="E116" s="254"/>
      <c r="F116" s="254"/>
    </row>
    <row r="117" spans="2:6" ht="15" customHeight="1">
      <c r="B117" s="248" t="s">
        <v>2718</v>
      </c>
      <c r="C117" s="785">
        <v>250</v>
      </c>
      <c r="D117" s="744" t="s">
        <v>613</v>
      </c>
      <c r="E117" s="254"/>
      <c r="F117" s="254"/>
    </row>
    <row r="118" spans="2:6" ht="15" customHeight="1">
      <c r="B118" s="248" t="s">
        <v>2719</v>
      </c>
      <c r="C118" s="779">
        <v>4</v>
      </c>
      <c r="D118" s="744" t="s">
        <v>613</v>
      </c>
      <c r="E118" s="254"/>
      <c r="F118" s="782" t="s">
        <v>2720</v>
      </c>
    </row>
    <row r="119" spans="2:6" ht="15" customHeight="1">
      <c r="B119" s="248" t="s">
        <v>2721</v>
      </c>
      <c r="C119" s="779">
        <v>4</v>
      </c>
      <c r="D119" s="744" t="s">
        <v>613</v>
      </c>
      <c r="E119" s="254"/>
      <c r="F119" s="782"/>
    </row>
    <row r="120" spans="2:6" ht="15" customHeight="1">
      <c r="B120" s="248" t="s">
        <v>2722</v>
      </c>
      <c r="C120" s="785">
        <v>12</v>
      </c>
      <c r="D120" s="744" t="s">
        <v>613</v>
      </c>
      <c r="E120" s="254"/>
      <c r="F120" s="254"/>
    </row>
    <row r="121" spans="2:6" ht="15" customHeight="1">
      <c r="B121" s="248" t="s">
        <v>2723</v>
      </c>
      <c r="C121" s="779">
        <v>4</v>
      </c>
      <c r="D121" s="744" t="s">
        <v>613</v>
      </c>
      <c r="E121" s="254"/>
      <c r="F121" s="254"/>
    </row>
    <row r="122" spans="2:6" ht="15" customHeight="1">
      <c r="B122" s="778" t="s">
        <v>2724</v>
      </c>
      <c r="C122" s="779">
        <v>5000</v>
      </c>
      <c r="D122" s="744" t="s">
        <v>2557</v>
      </c>
      <c r="E122" s="254"/>
      <c r="F122" s="254"/>
    </row>
    <row r="123" spans="2:6" ht="15" customHeight="1">
      <c r="B123" s="778" t="s">
        <v>2725</v>
      </c>
      <c r="C123" s="780">
        <v>150</v>
      </c>
      <c r="D123" s="745" t="s">
        <v>2557</v>
      </c>
      <c r="E123" s="254"/>
      <c r="F123" s="254"/>
    </row>
    <row r="124" spans="2:6" ht="15.95" customHeight="1">
      <c r="B124" s="777" t="s">
        <v>2726</v>
      </c>
      <c r="C124" s="231"/>
    </row>
    <row r="125" spans="2:6" ht="15" customHeight="1">
      <c r="B125" s="248" t="s">
        <v>2727</v>
      </c>
      <c r="C125" s="780">
        <v>3</v>
      </c>
      <c r="D125" s="745" t="s">
        <v>211</v>
      </c>
      <c r="E125" s="254"/>
      <c r="F125" s="254"/>
    </row>
    <row r="126" spans="2:6" ht="15" customHeight="1">
      <c r="B126" s="248" t="s">
        <v>2728</v>
      </c>
      <c r="C126" s="793">
        <v>0.15</v>
      </c>
      <c r="D126" s="745"/>
      <c r="E126" s="254"/>
      <c r="F126" s="254"/>
    </row>
    <row r="127" spans="2:6" ht="15" customHeight="1">
      <c r="B127" s="248" t="s">
        <v>2729</v>
      </c>
      <c r="C127" s="781">
        <v>150</v>
      </c>
      <c r="D127" s="745" t="s">
        <v>613</v>
      </c>
      <c r="E127" s="254"/>
      <c r="F127" s="254"/>
    </row>
    <row r="128" spans="2:6" ht="15.95" customHeight="1">
      <c r="B128" s="777" t="s">
        <v>2730</v>
      </c>
      <c r="C128" s="231"/>
    </row>
    <row r="129" spans="2:6" ht="15" customHeight="1">
      <c r="B129" s="248" t="s">
        <v>2731</v>
      </c>
      <c r="C129" s="779" t="s">
        <v>654</v>
      </c>
      <c r="D129" s="744" t="s">
        <v>411</v>
      </c>
      <c r="E129" s="254"/>
      <c r="F129" s="254"/>
    </row>
    <row r="130" spans="2:6" ht="15" customHeight="1">
      <c r="B130" s="778" t="s">
        <v>2732</v>
      </c>
      <c r="C130" s="779" t="s">
        <v>559</v>
      </c>
      <c r="D130" s="744" t="s">
        <v>411</v>
      </c>
      <c r="E130" s="254"/>
      <c r="F130" s="254" t="s">
        <v>2733</v>
      </c>
    </row>
    <row r="131" spans="2:6" ht="15" customHeight="1">
      <c r="B131" s="248" t="s">
        <v>565</v>
      </c>
      <c r="C131" s="779" t="s">
        <v>995</v>
      </c>
      <c r="D131" s="744" t="s">
        <v>411</v>
      </c>
      <c r="E131" s="254"/>
      <c r="F131" s="254"/>
    </row>
    <row r="132" spans="2:6" ht="15" customHeight="1">
      <c r="B132" s="248" t="s">
        <v>2734</v>
      </c>
      <c r="C132" s="779" t="s">
        <v>559</v>
      </c>
      <c r="D132" s="744" t="s">
        <v>411</v>
      </c>
      <c r="E132" s="254"/>
      <c r="F132" s="254"/>
    </row>
    <row r="133" spans="2:6" ht="15" customHeight="1">
      <c r="B133" s="248" t="s">
        <v>2735</v>
      </c>
      <c r="C133" s="780" t="s">
        <v>559</v>
      </c>
      <c r="D133" s="745" t="s">
        <v>411</v>
      </c>
      <c r="E133" s="254"/>
      <c r="F133" s="254"/>
    </row>
    <row r="134" spans="2:6" ht="15" customHeight="1">
      <c r="B134" s="248" t="s">
        <v>2736</v>
      </c>
      <c r="C134" s="779" t="s">
        <v>559</v>
      </c>
      <c r="D134" s="744" t="s">
        <v>411</v>
      </c>
      <c r="E134" s="254"/>
      <c r="F134" s="254"/>
    </row>
    <row r="135" spans="2:6" ht="15" customHeight="1">
      <c r="B135" s="248" t="s">
        <v>2737</v>
      </c>
      <c r="C135" s="779" t="s">
        <v>995</v>
      </c>
      <c r="D135" s="744" t="s">
        <v>411</v>
      </c>
      <c r="E135" s="254"/>
      <c r="F135" s="254"/>
    </row>
    <row r="136" spans="2:6" ht="15" customHeight="1">
      <c r="B136" s="248" t="s">
        <v>2738</v>
      </c>
      <c r="C136" s="779" t="s">
        <v>995</v>
      </c>
      <c r="D136" s="744" t="s">
        <v>411</v>
      </c>
      <c r="E136" s="254"/>
      <c r="F136" s="254"/>
    </row>
    <row r="137" spans="2:6" ht="15" customHeight="1">
      <c r="B137" s="248" t="s">
        <v>2739</v>
      </c>
      <c r="C137" s="780" t="s">
        <v>654</v>
      </c>
      <c r="D137" s="745" t="s">
        <v>411</v>
      </c>
      <c r="E137" s="254"/>
      <c r="F137" s="782" t="s">
        <v>2740</v>
      </c>
    </row>
  </sheetData>
  <sheetProtection algorithmName="SHA-512" hashValue="Kw/B98ObIfEwnSoREf+9u/QT5cXL7DUPC/9vI8P3H5W5cBktcfz4L/pIhTiJHelrAxMH41UMipDPjvUJTzkeuw==" saltValue="LcijeQgEc3DehNDb5nzj1Q==" spinCount="100000" sheet="1" objects="1" scenarios="1" autoFilter="0"/>
  <phoneticPr fontId="21" type="noConversion"/>
  <dataValidations disablePrompts="1" count="1">
    <dataValidation type="list" allowBlank="1" showInputMessage="1" showErrorMessage="1" sqref="C112 C129:C137" xr:uid="{2806F203-4D9D-470F-B842-FF310F61CAE8}">
      <formula1>Long_haul_distance_names_L</formula1>
    </dataValidation>
  </dataValidations>
  <hyperlinks>
    <hyperlink ref="E72" r:id="rId1" xr:uid="{E5B97558-853E-40E0-B0EE-C9FCB1FDD054}"/>
    <hyperlink ref="D2" location="RCE_Summary" display="RCE Summary" xr:uid="{E2DA871A-8366-4493-A836-460D9BE839D1}"/>
  </hyperlinks>
  <pageMargins left="0.7" right="0.7" top="0.75" bottom="0.75" header="0.3" footer="0.3"/>
  <pageSetup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CA0E0-0FD4-4D97-BF2C-775F08835435}">
  <sheetPr codeName="Sheet20">
    <tabColor theme="5" tint="0.39997558519241921"/>
  </sheetPr>
  <dimension ref="B2:L31"/>
  <sheetViews>
    <sheetView showGridLines="0" zoomScaleNormal="100" workbookViewId="0">
      <pane ySplit="4" topLeftCell="A5" activePane="bottomLeft" state="frozen"/>
      <selection activeCell="F272" sqref="F272"/>
      <selection pane="bottomLeft"/>
    </sheetView>
  </sheetViews>
  <sheetFormatPr defaultColWidth="8.7109375" defaultRowHeight="12.75"/>
  <cols>
    <col min="1" max="1" width="2.85546875" customWidth="1"/>
    <col min="2" max="2" width="48.5703125" bestFit="1" customWidth="1"/>
    <col min="3" max="3" width="12.28515625" style="699" customWidth="1"/>
    <col min="4" max="4" width="13.5703125" style="699" customWidth="1"/>
    <col min="5" max="11" width="13.5703125" customWidth="1"/>
  </cols>
  <sheetData>
    <row r="2" spans="2:12">
      <c r="B2" s="737" t="str">
        <f>Name_main</f>
        <v>Rehabilitation Cost Estimate Tool - Mining New South Wales</v>
      </c>
      <c r="C2" s="803" t="s">
        <v>2600</v>
      </c>
      <c r="D2" s="259" t="s">
        <v>1</v>
      </c>
      <c r="F2" s="2"/>
      <c r="G2" s="2"/>
      <c r="H2" s="2"/>
      <c r="I2" s="2"/>
      <c r="J2" s="2"/>
    </row>
    <row r="3" spans="2:12" ht="15.75" thickBot="1">
      <c r="B3" s="737"/>
      <c r="C3" s="803"/>
      <c r="D3" s="803"/>
      <c r="E3" s="927" t="s">
        <v>701</v>
      </c>
      <c r="F3" s="927"/>
      <c r="G3" s="927"/>
      <c r="H3" s="927"/>
    </row>
    <row r="4" spans="2:12" ht="41.45" customHeight="1">
      <c r="B4" s="776" t="s">
        <v>957</v>
      </c>
      <c r="C4" s="776" t="s">
        <v>353</v>
      </c>
      <c r="D4" s="776" t="str">
        <f>Lists!$B73</f>
        <v>Difficult (e.g. inpit)</v>
      </c>
      <c r="E4" s="776" t="str">
        <f>Lists!$B72</f>
        <v>High</v>
      </c>
      <c r="F4" s="776" t="str">
        <f>Lists!$B71</f>
        <v>Medium</v>
      </c>
      <c r="G4" s="776" t="str">
        <f>Lists!$B70</f>
        <v>Low</v>
      </c>
      <c r="H4" s="776" t="str">
        <f>Lists!$B69</f>
        <v>Very Low</v>
      </c>
      <c r="I4" s="776" t="str">
        <f>Lists!$B67</f>
        <v>O/B Dumps and Spoil Piles</v>
      </c>
      <c r="J4" s="776" t="str">
        <f>Lists!$B68</f>
        <v>Growth Media Stockpiles</v>
      </c>
      <c r="K4" s="776" t="s">
        <v>2741</v>
      </c>
    </row>
    <row r="5" spans="2:12" ht="15.95" customHeight="1">
      <c r="B5" s="804" t="s">
        <v>2742</v>
      </c>
      <c r="C5"/>
      <c r="D5"/>
      <c r="E5" s="805" t="s">
        <v>2743</v>
      </c>
      <c r="F5" s="805" t="s">
        <v>2744</v>
      </c>
      <c r="G5" s="805" t="s">
        <v>2745</v>
      </c>
      <c r="H5" s="805" t="s">
        <v>2746</v>
      </c>
    </row>
    <row r="6" spans="2:12" s="231" customFormat="1" ht="15" customHeight="1">
      <c r="B6" s="305" t="s">
        <v>2747</v>
      </c>
      <c r="C6" s="806" t="s">
        <v>211</v>
      </c>
      <c r="D6" s="807">
        <v>1</v>
      </c>
      <c r="E6" s="807">
        <v>1</v>
      </c>
      <c r="F6" s="807">
        <v>1</v>
      </c>
      <c r="G6" s="807">
        <v>1</v>
      </c>
      <c r="H6" s="807">
        <v>1</v>
      </c>
      <c r="I6"/>
      <c r="J6"/>
    </row>
    <row r="7" spans="2:12" s="808" customFormat="1" ht="15">
      <c r="B7" s="305" t="s">
        <v>2748</v>
      </c>
      <c r="C7" s="806" t="s">
        <v>211</v>
      </c>
      <c r="D7" s="807">
        <v>0.5</v>
      </c>
      <c r="E7" s="807">
        <v>0.5</v>
      </c>
      <c r="F7" s="807">
        <v>0.5</v>
      </c>
      <c r="G7" s="807">
        <v>0.5</v>
      </c>
      <c r="H7" s="807">
        <v>0.5</v>
      </c>
      <c r="I7"/>
      <c r="J7"/>
    </row>
    <row r="8" spans="2:12" s="808" customFormat="1" ht="15">
      <c r="B8" s="305" t="s">
        <v>2749</v>
      </c>
      <c r="C8" s="806" t="s">
        <v>211</v>
      </c>
      <c r="D8" s="807">
        <v>4</v>
      </c>
      <c r="E8" s="807">
        <v>0.5</v>
      </c>
      <c r="F8" s="807">
        <v>0.3</v>
      </c>
      <c r="G8" s="807">
        <v>0</v>
      </c>
      <c r="H8" s="807">
        <v>0</v>
      </c>
      <c r="I8"/>
      <c r="J8"/>
    </row>
    <row r="9" spans="2:12" s="808" customFormat="1" ht="15">
      <c r="B9" s="305" t="s">
        <v>2750</v>
      </c>
      <c r="C9" s="806" t="s">
        <v>211</v>
      </c>
      <c r="D9" s="807">
        <v>0</v>
      </c>
      <c r="E9" s="807">
        <v>0.6</v>
      </c>
      <c r="F9" s="807">
        <v>0.3</v>
      </c>
      <c r="G9" s="807">
        <v>0</v>
      </c>
      <c r="H9" s="807">
        <v>0</v>
      </c>
      <c r="I9"/>
      <c r="J9"/>
    </row>
    <row r="10" spans="2:12" s="808" customFormat="1" ht="15">
      <c r="B10" s="305" t="s">
        <v>2751</v>
      </c>
      <c r="C10" s="806" t="s">
        <v>211</v>
      </c>
      <c r="D10" s="807">
        <v>1.5</v>
      </c>
      <c r="E10" s="807">
        <v>0.5</v>
      </c>
      <c r="F10" s="807">
        <v>0</v>
      </c>
      <c r="G10" s="807">
        <v>0</v>
      </c>
      <c r="H10" s="807">
        <v>0</v>
      </c>
      <c r="I10"/>
      <c r="J10"/>
    </row>
    <row r="11" spans="2:12" s="808" customFormat="1" ht="15">
      <c r="B11" s="305" t="s">
        <v>2752</v>
      </c>
      <c r="C11" s="806" t="s">
        <v>211</v>
      </c>
      <c r="D11" s="807">
        <v>4</v>
      </c>
      <c r="E11" s="807">
        <v>1.5</v>
      </c>
      <c r="F11" s="807">
        <v>1</v>
      </c>
      <c r="G11" s="807">
        <v>1</v>
      </c>
      <c r="H11" s="807">
        <v>0</v>
      </c>
      <c r="I11"/>
      <c r="J11"/>
    </row>
    <row r="12" spans="2:12" s="808" customFormat="1" ht="15">
      <c r="B12" s="305" t="s">
        <v>549</v>
      </c>
      <c r="C12" s="809" t="s">
        <v>211</v>
      </c>
      <c r="D12" s="810">
        <v>0.15</v>
      </c>
      <c r="E12" s="810">
        <v>0.15</v>
      </c>
      <c r="F12" s="810">
        <v>0.15</v>
      </c>
      <c r="G12" s="810">
        <v>0.15</v>
      </c>
      <c r="H12" s="810">
        <v>0.15</v>
      </c>
      <c r="I12"/>
      <c r="J12"/>
      <c r="K12" s="810">
        <v>0.15</v>
      </c>
    </row>
    <row r="13" spans="2:12" s="808" customFormat="1" ht="15">
      <c r="B13" s="305" t="s">
        <v>549</v>
      </c>
      <c r="C13" s="811" t="s">
        <v>2753</v>
      </c>
      <c r="E13" s="812"/>
      <c r="F13" s="812"/>
      <c r="G13" s="812"/>
      <c r="H13" s="812"/>
      <c r="I13"/>
      <c r="J13"/>
      <c r="K13" s="813">
        <v>0.2</v>
      </c>
      <c r="L13" s="808" t="s">
        <v>2754</v>
      </c>
    </row>
    <row r="15" spans="2:12" ht="15">
      <c r="B15" s="804" t="s">
        <v>2755</v>
      </c>
      <c r="C15"/>
      <c r="D15"/>
    </row>
    <row r="16" spans="2:12" ht="15">
      <c r="B16" s="305" t="s">
        <v>2756</v>
      </c>
      <c r="C16" s="814" t="s">
        <v>211</v>
      </c>
      <c r="D16"/>
      <c r="E16" s="807">
        <v>0.5</v>
      </c>
      <c r="F16" s="807">
        <v>0.5</v>
      </c>
      <c r="G16" s="807">
        <v>0.5</v>
      </c>
      <c r="H16" s="807">
        <v>0.5</v>
      </c>
      <c r="I16" s="807">
        <v>0.5</v>
      </c>
      <c r="J16" s="810">
        <v>0</v>
      </c>
    </row>
    <row r="17" spans="2:10" ht="15">
      <c r="B17" s="305" t="s">
        <v>2749</v>
      </c>
      <c r="C17" s="814" t="s">
        <v>211</v>
      </c>
      <c r="D17"/>
      <c r="E17" s="807">
        <v>0</v>
      </c>
      <c r="F17" s="807">
        <v>0</v>
      </c>
      <c r="G17" s="807">
        <v>0</v>
      </c>
      <c r="H17" s="807">
        <v>0</v>
      </c>
      <c r="I17" s="807">
        <v>0</v>
      </c>
      <c r="J17" s="807">
        <v>0</v>
      </c>
    </row>
    <row r="18" spans="2:10" ht="15">
      <c r="B18" s="305" t="s">
        <v>2750</v>
      </c>
      <c r="C18" s="814" t="s">
        <v>211</v>
      </c>
      <c r="D18"/>
      <c r="E18" s="807">
        <v>0.6</v>
      </c>
      <c r="F18" s="807">
        <v>0.3</v>
      </c>
      <c r="G18" s="807">
        <v>0</v>
      </c>
      <c r="H18" s="807">
        <v>0</v>
      </c>
      <c r="I18" s="807">
        <v>0</v>
      </c>
      <c r="J18" s="807">
        <v>0</v>
      </c>
    </row>
    <row r="19" spans="2:10" ht="15">
      <c r="B19" s="305" t="s">
        <v>2751</v>
      </c>
      <c r="C19" s="814" t="s">
        <v>211</v>
      </c>
      <c r="D19"/>
      <c r="E19" s="807">
        <v>0.5</v>
      </c>
      <c r="F19" s="807">
        <v>0</v>
      </c>
      <c r="G19" s="807">
        <v>0</v>
      </c>
      <c r="H19" s="807">
        <v>0</v>
      </c>
      <c r="I19" s="807">
        <v>0</v>
      </c>
      <c r="J19" s="807">
        <v>0</v>
      </c>
    </row>
    <row r="20" spans="2:10" ht="15">
      <c r="B20" s="305" t="s">
        <v>2752</v>
      </c>
      <c r="C20" s="814" t="s">
        <v>211</v>
      </c>
      <c r="D20"/>
      <c r="E20" s="807">
        <v>1.5</v>
      </c>
      <c r="F20" s="807">
        <v>1</v>
      </c>
      <c r="G20" s="807">
        <v>0.5</v>
      </c>
      <c r="H20" s="807">
        <v>0</v>
      </c>
      <c r="I20" s="807">
        <v>0</v>
      </c>
      <c r="J20" s="810">
        <v>0</v>
      </c>
    </row>
    <row r="21" spans="2:10" ht="15">
      <c r="B21" s="305" t="s">
        <v>549</v>
      </c>
      <c r="C21" s="815" t="s">
        <v>211</v>
      </c>
      <c r="D21"/>
      <c r="E21" s="810">
        <v>0.15</v>
      </c>
      <c r="F21" s="810">
        <v>0.15</v>
      </c>
      <c r="G21" s="810">
        <v>0.15</v>
      </c>
      <c r="H21" s="810">
        <v>0.15</v>
      </c>
      <c r="I21" s="810">
        <v>0.15</v>
      </c>
      <c r="J21" s="810">
        <v>0</v>
      </c>
    </row>
    <row r="22" spans="2:10">
      <c r="D22"/>
    </row>
    <row r="23" spans="2:10" ht="15">
      <c r="B23" s="804" t="s">
        <v>2757</v>
      </c>
      <c r="C23"/>
      <c r="D23"/>
    </row>
    <row r="24" spans="2:10" ht="15">
      <c r="B24" s="305" t="s">
        <v>2748</v>
      </c>
      <c r="C24" s="814" t="s">
        <v>211</v>
      </c>
      <c r="D24"/>
      <c r="E24" s="807">
        <v>1</v>
      </c>
      <c r="F24" s="807">
        <v>1</v>
      </c>
      <c r="G24" s="807">
        <v>1</v>
      </c>
      <c r="H24" s="807">
        <v>1</v>
      </c>
    </row>
    <row r="25" spans="2:10" ht="15">
      <c r="B25" s="305" t="s">
        <v>2749</v>
      </c>
      <c r="C25" s="814" t="s">
        <v>211</v>
      </c>
      <c r="D25"/>
      <c r="E25" s="807">
        <v>0</v>
      </c>
      <c r="F25" s="807">
        <v>0</v>
      </c>
      <c r="G25" s="807">
        <v>0</v>
      </c>
      <c r="H25" s="807">
        <v>0</v>
      </c>
    </row>
    <row r="26" spans="2:10" ht="15">
      <c r="B26" s="305" t="s">
        <v>2750</v>
      </c>
      <c r="C26" s="814" t="s">
        <v>211</v>
      </c>
      <c r="D26"/>
      <c r="E26" s="807">
        <v>0.6</v>
      </c>
      <c r="F26" s="807">
        <v>0.3</v>
      </c>
      <c r="G26" s="807">
        <v>0</v>
      </c>
      <c r="H26" s="807">
        <v>0</v>
      </c>
    </row>
    <row r="27" spans="2:10" ht="15">
      <c r="B27" s="305" t="s">
        <v>2751</v>
      </c>
      <c r="C27" s="814" t="s">
        <v>211</v>
      </c>
      <c r="D27"/>
      <c r="E27" s="807">
        <v>0.5</v>
      </c>
      <c r="F27" s="807">
        <v>0</v>
      </c>
      <c r="G27" s="807">
        <v>0</v>
      </c>
      <c r="H27" s="807">
        <v>0</v>
      </c>
    </row>
    <row r="28" spans="2:10" ht="15">
      <c r="B28" s="305" t="s">
        <v>2752</v>
      </c>
      <c r="C28" s="814" t="s">
        <v>211</v>
      </c>
      <c r="D28"/>
      <c r="E28" s="807">
        <v>1.5</v>
      </c>
      <c r="F28" s="807">
        <v>1</v>
      </c>
      <c r="G28" s="807">
        <v>0.5</v>
      </c>
      <c r="H28" s="807">
        <v>0</v>
      </c>
    </row>
    <row r="29" spans="2:10" ht="15">
      <c r="B29" s="305" t="s">
        <v>549</v>
      </c>
      <c r="C29" s="815" t="s">
        <v>211</v>
      </c>
      <c r="D29"/>
      <c r="E29" s="810">
        <v>0.15</v>
      </c>
      <c r="F29" s="810">
        <v>0.15</v>
      </c>
      <c r="G29" s="810">
        <v>0.15</v>
      </c>
      <c r="H29" s="810">
        <v>0.15</v>
      </c>
    </row>
    <row r="31" spans="2:10" ht="15">
      <c r="B31" s="272" t="s">
        <v>2758</v>
      </c>
    </row>
  </sheetData>
  <sheetProtection algorithmName="SHA-512" hashValue="hEGVuYBhbm4XlYAuM5QX4yJOczd42XQH4AISIkL6qVoP8sUqV3ZO7yELnK/QSHYU6SIkdRx4yBh1P+u5OSJ6BQ==" saltValue="hhRtIPHTIyXYZyit760AEw==" spinCount="100000" sheet="1" objects="1" scenarios="1" autoFilter="0"/>
  <mergeCells count="1">
    <mergeCell ref="E3:H3"/>
  </mergeCells>
  <hyperlinks>
    <hyperlink ref="D2" location="RCE_Summary" display="RCE Summary" xr:uid="{6E4B270E-9691-45A6-84D3-1A67BF7A1342}"/>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D59BC-C08E-4CF7-892C-3481E50B0F85}">
  <sheetPr codeName="Sheet161">
    <tabColor theme="4" tint="-0.249977111117893"/>
    <pageSetUpPr fitToPage="1"/>
  </sheetPr>
  <dimension ref="A1:V825"/>
  <sheetViews>
    <sheetView showGridLines="0" zoomScaleNormal="100" zoomScaleSheetLayoutView="100" workbookViewId="0">
      <pane xSplit="15" ySplit="4" topLeftCell="P5" activePane="bottomRight" state="frozen"/>
      <selection pane="topRight" activeCell="N1" sqref="N1"/>
      <selection pane="bottomLeft" activeCell="A5" sqref="A5"/>
      <selection pane="bottomRight"/>
    </sheetView>
  </sheetViews>
  <sheetFormatPr defaultColWidth="8.7109375" defaultRowHeight="12.75" outlineLevelRow="1"/>
  <cols>
    <col min="1" max="1" width="3.140625" style="867" customWidth="1"/>
    <col min="2" max="3" width="11.28515625" style="868" customWidth="1"/>
    <col min="4" max="4" width="16.42578125" style="868" customWidth="1"/>
    <col min="5" max="5" width="15.85546875" style="867" customWidth="1"/>
    <col min="6" max="6" width="25.140625" style="867" customWidth="1"/>
    <col min="7" max="7" width="21.5703125" style="867" customWidth="1"/>
    <col min="8" max="8" width="7.42578125" style="867" bestFit="1" customWidth="1"/>
    <col min="9" max="15" width="11.85546875" style="867" customWidth="1"/>
    <col min="16" max="16" width="23.7109375" style="869" customWidth="1"/>
    <col min="17" max="19" width="12.140625" style="867" customWidth="1"/>
    <col min="20" max="20" width="32.140625" style="867" customWidth="1"/>
    <col min="21" max="21" width="35.140625" style="867" customWidth="1"/>
    <col min="22" max="22" width="25.5703125" style="867" customWidth="1"/>
    <col min="23" max="16384" width="8.7109375" style="867"/>
  </cols>
  <sheetData>
    <row r="1" spans="1:22" s="816" customFormat="1">
      <c r="B1" s="817"/>
      <c r="C1" s="817"/>
      <c r="D1" s="259" t="s">
        <v>1</v>
      </c>
      <c r="E1" s="230"/>
      <c r="F1" s="37"/>
      <c r="G1" s="37"/>
      <c r="H1" s="38"/>
      <c r="I1" s="36"/>
      <c r="J1" s="36"/>
      <c r="K1" s="870">
        <v>0.03</v>
      </c>
      <c r="L1" s="36" t="s">
        <v>2759</v>
      </c>
      <c r="M1" s="36"/>
      <c r="N1" s="36"/>
      <c r="O1" s="36"/>
      <c r="P1" s="39"/>
      <c r="Q1" s="39"/>
      <c r="R1" s="39"/>
      <c r="S1" s="39"/>
      <c r="T1" s="36"/>
      <c r="U1" s="818"/>
      <c r="V1" s="818"/>
    </row>
    <row r="2" spans="1:22" s="816" customFormat="1" ht="20.45" customHeight="1" thickBot="1">
      <c r="B2" s="817"/>
      <c r="C2" s="817"/>
      <c r="D2" s="817"/>
      <c r="E2" s="36"/>
      <c r="F2" s="817"/>
      <c r="G2" s="37"/>
      <c r="H2" s="40"/>
      <c r="I2" s="36"/>
      <c r="J2" s="36"/>
      <c r="K2" s="871">
        <v>3</v>
      </c>
      <c r="L2" s="36" t="s">
        <v>1179</v>
      </c>
      <c r="M2" s="870">
        <v>0.15</v>
      </c>
      <c r="N2" s="36"/>
      <c r="O2" s="36"/>
      <c r="P2" s="41"/>
      <c r="Q2" s="41"/>
      <c r="R2" s="41"/>
      <c r="S2" s="41"/>
      <c r="T2" s="36"/>
      <c r="U2" s="818"/>
      <c r="V2" s="819"/>
    </row>
    <row r="3" spans="1:22" s="816" customFormat="1" ht="38.25">
      <c r="B3" s="820" t="s">
        <v>311</v>
      </c>
      <c r="C3" s="821" t="s">
        <v>2760</v>
      </c>
      <c r="D3" s="820" t="s">
        <v>2761</v>
      </c>
      <c r="E3" s="820" t="s">
        <v>2762</v>
      </c>
      <c r="F3" s="821" t="s">
        <v>2763</v>
      </c>
      <c r="G3" s="820" t="s">
        <v>2764</v>
      </c>
      <c r="H3" s="822" t="s">
        <v>353</v>
      </c>
      <c r="I3" s="820" t="s">
        <v>2765</v>
      </c>
      <c r="J3" s="823" t="s">
        <v>2766</v>
      </c>
      <c r="K3" s="823" t="s">
        <v>2767</v>
      </c>
      <c r="L3" s="820" t="s">
        <v>2768</v>
      </c>
      <c r="M3" s="820" t="s">
        <v>2769</v>
      </c>
      <c r="N3" s="820" t="s">
        <v>2770</v>
      </c>
      <c r="O3" s="820" t="s">
        <v>2771</v>
      </c>
      <c r="P3" s="824" t="s">
        <v>2772</v>
      </c>
      <c r="Q3" s="820" t="s">
        <v>2235</v>
      </c>
      <c r="R3" s="820" t="s">
        <v>2773</v>
      </c>
      <c r="S3" s="820" t="s">
        <v>2774</v>
      </c>
      <c r="T3" s="820" t="s">
        <v>2775</v>
      </c>
      <c r="U3" s="825" t="s">
        <v>2776</v>
      </c>
      <c r="V3" s="826" t="s">
        <v>2777</v>
      </c>
    </row>
    <row r="4" spans="1:22" s="816" customFormat="1">
      <c r="B4" s="827"/>
      <c r="C4" s="827" t="s">
        <v>2778</v>
      </c>
      <c r="D4" s="827"/>
      <c r="E4" s="827"/>
      <c r="F4" s="827"/>
      <c r="G4" s="827"/>
      <c r="H4" s="827"/>
      <c r="I4" s="827"/>
      <c r="J4" s="827"/>
      <c r="K4" s="827"/>
      <c r="L4" s="827"/>
      <c r="M4" s="827"/>
      <c r="N4" s="827"/>
      <c r="O4" s="827"/>
      <c r="P4" s="828"/>
      <c r="Q4" s="827"/>
      <c r="R4" s="827"/>
      <c r="S4" s="827"/>
      <c r="T4" s="827"/>
      <c r="U4" s="827"/>
      <c r="V4" s="827"/>
    </row>
    <row r="5" spans="1:22" s="829" customFormat="1" ht="102">
      <c r="B5" s="830" t="s">
        <v>2779</v>
      </c>
      <c r="C5" s="830">
        <v>1.01</v>
      </c>
      <c r="D5" s="830" t="s">
        <v>2201</v>
      </c>
      <c r="E5" s="6" t="s">
        <v>414</v>
      </c>
      <c r="F5" s="831" t="s">
        <v>2780</v>
      </c>
      <c r="G5" s="831" t="s">
        <v>421</v>
      </c>
      <c r="H5" s="832" t="s">
        <v>2781</v>
      </c>
      <c r="I5" s="6" t="s">
        <v>1770</v>
      </c>
      <c r="J5" s="6">
        <v>35000</v>
      </c>
      <c r="K5" s="6">
        <v>38245.445</v>
      </c>
      <c r="L5" s="6">
        <v>35223.858822378752</v>
      </c>
      <c r="M5" s="833">
        <v>6.3959663536786266E-3</v>
      </c>
      <c r="N5" s="833">
        <v>-7.9005125384767991E-2</v>
      </c>
      <c r="O5" s="834">
        <v>38500</v>
      </c>
      <c r="P5" s="835" t="s">
        <v>2782</v>
      </c>
      <c r="Q5" s="6" t="s">
        <v>2783</v>
      </c>
      <c r="R5" s="6" t="s">
        <v>2783</v>
      </c>
      <c r="S5" s="6"/>
      <c r="T5" s="6" t="s">
        <v>2783</v>
      </c>
      <c r="U5" s="831" t="s">
        <v>2784</v>
      </c>
      <c r="V5" s="836" t="s">
        <v>2202</v>
      </c>
    </row>
    <row r="6" spans="1:22" s="829" customFormat="1" ht="102">
      <c r="B6" s="830" t="s">
        <v>2779</v>
      </c>
      <c r="C6" s="830">
        <v>1.02</v>
      </c>
      <c r="D6" s="830" t="s">
        <v>2201</v>
      </c>
      <c r="E6" s="6" t="s">
        <v>414</v>
      </c>
      <c r="F6" s="831" t="s">
        <v>2785</v>
      </c>
      <c r="G6" s="831" t="s">
        <v>422</v>
      </c>
      <c r="H6" s="832" t="s">
        <v>2781</v>
      </c>
      <c r="I6" s="6" t="s">
        <v>1770</v>
      </c>
      <c r="J6" s="6">
        <v>5850</v>
      </c>
      <c r="K6" s="6">
        <v>6392.4529499999999</v>
      </c>
      <c r="L6" s="6">
        <v>6300.8164703964585</v>
      </c>
      <c r="M6" s="833">
        <v>7.7062644512215131E-2</v>
      </c>
      <c r="N6" s="833">
        <v>-1.4335104273789199E-2</v>
      </c>
      <c r="O6" s="834">
        <v>11000</v>
      </c>
      <c r="P6" s="835" t="s">
        <v>2782</v>
      </c>
      <c r="Q6" s="6" t="s">
        <v>2783</v>
      </c>
      <c r="R6" s="6" t="s">
        <v>2783</v>
      </c>
      <c r="S6" s="6"/>
      <c r="T6" s="6" t="s">
        <v>2783</v>
      </c>
      <c r="U6" s="831" t="s">
        <v>2786</v>
      </c>
      <c r="V6" s="836" t="s">
        <v>2202</v>
      </c>
    </row>
    <row r="7" spans="1:22" s="829" customFormat="1" ht="165.75">
      <c r="B7" s="830" t="s">
        <v>2779</v>
      </c>
      <c r="C7" s="830">
        <v>1.03</v>
      </c>
      <c r="D7" s="830" t="s">
        <v>2032</v>
      </c>
      <c r="E7" s="6" t="s">
        <v>414</v>
      </c>
      <c r="F7" s="831" t="s">
        <v>2787</v>
      </c>
      <c r="G7" s="831" t="s">
        <v>490</v>
      </c>
      <c r="H7" s="832" t="s">
        <v>411</v>
      </c>
      <c r="I7" s="5" t="s">
        <v>411</v>
      </c>
      <c r="J7" s="5">
        <v>15000</v>
      </c>
      <c r="K7" s="6">
        <v>16390.904999999999</v>
      </c>
      <c r="L7" s="5">
        <v>26870.828591179059</v>
      </c>
      <c r="M7" s="833">
        <v>0.79138857274527064</v>
      </c>
      <c r="N7" s="833">
        <v>0.63937431100839526</v>
      </c>
      <c r="O7" s="834">
        <v>30023.441545425441</v>
      </c>
      <c r="P7" s="835" t="s">
        <v>2782</v>
      </c>
      <c r="Q7" s="6" t="s">
        <v>2783</v>
      </c>
      <c r="R7" s="6" t="s">
        <v>2783</v>
      </c>
      <c r="S7" s="6"/>
      <c r="T7" s="6" t="s">
        <v>2783</v>
      </c>
      <c r="U7" s="831" t="s">
        <v>2788</v>
      </c>
      <c r="V7" s="836" t="s">
        <v>2035</v>
      </c>
    </row>
    <row r="8" spans="1:22" s="829" customFormat="1" ht="165.75">
      <c r="B8" s="830" t="s">
        <v>2779</v>
      </c>
      <c r="C8" s="830">
        <v>1.04</v>
      </c>
      <c r="D8" s="830" t="s">
        <v>2032</v>
      </c>
      <c r="E8" s="6" t="s">
        <v>414</v>
      </c>
      <c r="F8" s="837" t="s">
        <v>2789</v>
      </c>
      <c r="G8" s="837" t="s">
        <v>491</v>
      </c>
      <c r="H8" s="832" t="s">
        <v>411</v>
      </c>
      <c r="I8" s="5" t="s">
        <v>411</v>
      </c>
      <c r="J8" s="6">
        <v>100000</v>
      </c>
      <c r="K8" s="6">
        <v>109272.7</v>
      </c>
      <c r="L8" s="6">
        <v>68936.593670802467</v>
      </c>
      <c r="M8" s="833">
        <v>-0.31063406329197535</v>
      </c>
      <c r="N8" s="833">
        <v>-0.36913251277947312</v>
      </c>
      <c r="O8" s="834" t="s">
        <v>2303</v>
      </c>
      <c r="P8" s="835" t="s">
        <v>2782</v>
      </c>
      <c r="Q8" s="6" t="s">
        <v>2783</v>
      </c>
      <c r="R8" s="6" t="s">
        <v>2783</v>
      </c>
      <c r="S8" s="6"/>
      <c r="T8" s="6" t="s">
        <v>2783</v>
      </c>
      <c r="U8" s="831" t="s">
        <v>2790</v>
      </c>
      <c r="V8" s="836" t="s">
        <v>2033</v>
      </c>
    </row>
    <row r="9" spans="1:22" s="829" customFormat="1" ht="229.5">
      <c r="B9" s="830" t="s">
        <v>2779</v>
      </c>
      <c r="C9" s="830" t="s">
        <v>2791</v>
      </c>
      <c r="D9" s="830" t="s">
        <v>2038</v>
      </c>
      <c r="E9" s="6" t="s">
        <v>414</v>
      </c>
      <c r="F9" s="831" t="s">
        <v>2792</v>
      </c>
      <c r="G9" s="6" t="s">
        <v>500</v>
      </c>
      <c r="H9" s="832" t="s">
        <v>55</v>
      </c>
      <c r="I9" s="6" t="s">
        <v>2039</v>
      </c>
      <c r="J9" s="6">
        <v>350000</v>
      </c>
      <c r="K9" s="6">
        <v>382454.45</v>
      </c>
      <c r="L9" s="6">
        <v>318522.57210048923</v>
      </c>
      <c r="M9" s="833">
        <v>-8.9935508284316498E-2</v>
      </c>
      <c r="N9" s="833">
        <v>-0.16716207093291968</v>
      </c>
      <c r="O9" s="834"/>
      <c r="P9" s="835" t="s">
        <v>2793</v>
      </c>
      <c r="Q9" s="6">
        <v>196455.60000000003</v>
      </c>
      <c r="R9" s="6">
        <v>1125000</v>
      </c>
      <c r="S9" s="6"/>
      <c r="T9" s="6" t="s">
        <v>2794</v>
      </c>
      <c r="U9" s="831" t="s">
        <v>2795</v>
      </c>
      <c r="V9" s="836" t="s">
        <v>2040</v>
      </c>
    </row>
    <row r="10" spans="1:22" s="829" customFormat="1" ht="164.1" customHeight="1">
      <c r="B10" s="830" t="s">
        <v>2779</v>
      </c>
      <c r="C10" s="830" t="s">
        <v>2796</v>
      </c>
      <c r="D10" s="830" t="s">
        <v>2038</v>
      </c>
      <c r="E10" s="6" t="s">
        <v>414</v>
      </c>
      <c r="F10" s="831" t="s">
        <v>2797</v>
      </c>
      <c r="G10" s="6" t="s">
        <v>501</v>
      </c>
      <c r="H10" s="832" t="s">
        <v>55</v>
      </c>
      <c r="I10" s="6" t="s">
        <v>2039</v>
      </c>
      <c r="J10" s="6">
        <v>500000</v>
      </c>
      <c r="K10" s="6">
        <v>546363.5</v>
      </c>
      <c r="L10" s="6">
        <v>540292.99271166616</v>
      </c>
      <c r="M10" s="833">
        <v>8.0585985423332313E-2</v>
      </c>
      <c r="N10" s="833">
        <v>-1.1110748225922566E-2</v>
      </c>
      <c r="O10" s="834"/>
      <c r="P10" s="835" t="s">
        <v>2798</v>
      </c>
      <c r="Q10" s="6">
        <v>353260.80000000005</v>
      </c>
      <c r="R10" s="6">
        <v>3250000</v>
      </c>
      <c r="S10" s="6"/>
      <c r="T10" s="6" t="s">
        <v>2799</v>
      </c>
      <c r="U10" s="831" t="s">
        <v>2800</v>
      </c>
      <c r="V10" s="836" t="s">
        <v>2042</v>
      </c>
    </row>
    <row r="11" spans="1:22" s="829" customFormat="1" ht="125.1" customHeight="1">
      <c r="B11" s="830" t="s">
        <v>2779</v>
      </c>
      <c r="C11" s="830" t="s">
        <v>2801</v>
      </c>
      <c r="D11" s="830" t="s">
        <v>2038</v>
      </c>
      <c r="E11" s="6" t="s">
        <v>414</v>
      </c>
      <c r="F11" s="831" t="s">
        <v>2802</v>
      </c>
      <c r="G11" s="6" t="s">
        <v>502</v>
      </c>
      <c r="H11" s="832" t="s">
        <v>55</v>
      </c>
      <c r="I11" s="6" t="s">
        <v>2039</v>
      </c>
      <c r="J11" s="6">
        <v>1300000</v>
      </c>
      <c r="K11" s="6">
        <v>1420545.1</v>
      </c>
      <c r="L11" s="6">
        <v>1735593.3589661038</v>
      </c>
      <c r="M11" s="833">
        <v>0.33507181458931057</v>
      </c>
      <c r="N11" s="833">
        <v>0.2217798357588954</v>
      </c>
      <c r="O11" s="834"/>
      <c r="P11" s="835" t="s">
        <v>2803</v>
      </c>
      <c r="Q11" s="6">
        <v>734540.39999999991</v>
      </c>
      <c r="R11" s="6">
        <v>16000000</v>
      </c>
      <c r="S11" s="6"/>
      <c r="T11" s="6" t="s">
        <v>2804</v>
      </c>
      <c r="U11" s="831" t="s">
        <v>2805</v>
      </c>
      <c r="V11" s="836" t="s">
        <v>2043</v>
      </c>
    </row>
    <row r="12" spans="1:22" s="829" customFormat="1" ht="96.95" customHeight="1">
      <c r="B12" s="830" t="s">
        <v>2779</v>
      </c>
      <c r="C12" s="830">
        <v>1.06</v>
      </c>
      <c r="D12" s="830"/>
      <c r="E12" s="6" t="s">
        <v>414</v>
      </c>
      <c r="F12" s="831" t="s">
        <v>2806</v>
      </c>
      <c r="G12" s="14" t="s">
        <v>493</v>
      </c>
      <c r="H12" s="832" t="s">
        <v>2807</v>
      </c>
      <c r="I12" s="832" t="s">
        <v>215</v>
      </c>
      <c r="J12" s="7">
        <v>100</v>
      </c>
      <c r="K12" s="6">
        <v>109.2727</v>
      </c>
      <c r="L12" s="14">
        <v>133.73552126184188</v>
      </c>
      <c r="M12" s="833">
        <v>0.33735521261841883</v>
      </c>
      <c r="N12" s="833">
        <v>0.22386946842021732</v>
      </c>
      <c r="O12" s="834"/>
      <c r="P12" s="835" t="s">
        <v>2782</v>
      </c>
      <c r="Q12" s="837"/>
      <c r="R12" s="6"/>
      <c r="S12" s="6"/>
      <c r="T12" s="6"/>
      <c r="U12" s="831" t="s">
        <v>2808</v>
      </c>
      <c r="V12" s="836" t="s">
        <v>2084</v>
      </c>
    </row>
    <row r="13" spans="1:22" s="829" customFormat="1" ht="96.95" customHeight="1">
      <c r="B13" s="830" t="s">
        <v>2809</v>
      </c>
      <c r="C13" s="830"/>
      <c r="D13" s="830"/>
      <c r="E13" s="6" t="s">
        <v>414</v>
      </c>
      <c r="F13" s="831"/>
      <c r="G13" s="14" t="s">
        <v>494</v>
      </c>
      <c r="H13" s="832" t="s">
        <v>2783</v>
      </c>
      <c r="I13" s="832" t="s">
        <v>215</v>
      </c>
      <c r="J13" s="7" t="s">
        <v>2783</v>
      </c>
      <c r="K13" s="7" t="s">
        <v>2783</v>
      </c>
      <c r="L13" s="14">
        <v>111.47309170967149</v>
      </c>
      <c r="M13" s="833" t="s">
        <v>2810</v>
      </c>
      <c r="N13" s="833" t="s">
        <v>2810</v>
      </c>
      <c r="O13" s="834"/>
      <c r="P13" s="835" t="s">
        <v>2782</v>
      </c>
      <c r="Q13" s="837"/>
      <c r="R13" s="6"/>
      <c r="S13" s="6"/>
      <c r="T13" s="6"/>
      <c r="U13" s="831"/>
      <c r="V13" s="836" t="s">
        <v>2086</v>
      </c>
    </row>
    <row r="14" spans="1:22" s="829" customFormat="1" ht="96.95" customHeight="1">
      <c r="B14" s="830" t="s">
        <v>2779</v>
      </c>
      <c r="C14" s="830">
        <v>1.07</v>
      </c>
      <c r="D14" s="830" t="s">
        <v>492</v>
      </c>
      <c r="E14" s="6" t="s">
        <v>2811</v>
      </c>
      <c r="F14" s="831" t="s">
        <v>2812</v>
      </c>
      <c r="G14" s="14" t="s">
        <v>2087</v>
      </c>
      <c r="H14" s="832" t="s">
        <v>2807</v>
      </c>
      <c r="I14" s="832" t="s">
        <v>215</v>
      </c>
      <c r="J14" s="7">
        <v>75</v>
      </c>
      <c r="K14" s="6">
        <v>81.954525000000004</v>
      </c>
      <c r="L14" s="14">
        <v>93.143883848883377</v>
      </c>
      <c r="M14" s="833">
        <v>0.24191845131844503</v>
      </c>
      <c r="N14" s="833">
        <v>0.13653131232086785</v>
      </c>
      <c r="O14" s="834"/>
      <c r="P14" s="835" t="s">
        <v>2782</v>
      </c>
      <c r="Q14" s="837"/>
      <c r="R14" s="6"/>
      <c r="S14" s="6"/>
      <c r="T14" s="6"/>
      <c r="U14" s="831" t="s">
        <v>2813</v>
      </c>
      <c r="V14" s="836" t="s">
        <v>2088</v>
      </c>
    </row>
    <row r="15" spans="1:22" s="829" customFormat="1" ht="63.75" customHeight="1">
      <c r="A15" s="816"/>
      <c r="B15" s="838" t="s">
        <v>2779</v>
      </c>
      <c r="C15" s="838">
        <v>1.08</v>
      </c>
      <c r="D15" s="838" t="s">
        <v>1232</v>
      </c>
      <c r="E15" s="6" t="s">
        <v>2811</v>
      </c>
      <c r="F15" s="839" t="s">
        <v>2814</v>
      </c>
      <c r="G15" s="14" t="s">
        <v>459</v>
      </c>
      <c r="H15" s="840" t="s">
        <v>2807</v>
      </c>
      <c r="I15" s="840" t="s">
        <v>2807</v>
      </c>
      <c r="J15" s="14">
        <v>40</v>
      </c>
      <c r="K15" s="6">
        <v>43.70908</v>
      </c>
      <c r="L15" s="14">
        <v>57.633500017526131</v>
      </c>
      <c r="M15" s="833">
        <v>0.44083750043815328</v>
      </c>
      <c r="N15" s="833">
        <v>0.31857042100923039</v>
      </c>
      <c r="O15" s="834"/>
      <c r="P15" s="835" t="s">
        <v>2815</v>
      </c>
      <c r="Q15" s="6">
        <v>62.139523809523808</v>
      </c>
      <c r="R15" s="6">
        <v>52</v>
      </c>
      <c r="S15" s="6"/>
      <c r="T15" s="6"/>
      <c r="U15" s="831" t="s">
        <v>2816</v>
      </c>
      <c r="V15" s="836" t="s">
        <v>1240</v>
      </c>
    </row>
    <row r="16" spans="1:22" s="829" customFormat="1" ht="89.25">
      <c r="B16" s="830" t="s">
        <v>2779</v>
      </c>
      <c r="C16" s="830">
        <v>1.0900000000000001</v>
      </c>
      <c r="D16" s="830" t="s">
        <v>2817</v>
      </c>
      <c r="E16" s="6" t="s">
        <v>2811</v>
      </c>
      <c r="F16" s="831" t="s">
        <v>2818</v>
      </c>
      <c r="G16" s="14" t="s">
        <v>1237</v>
      </c>
      <c r="H16" s="832" t="s">
        <v>2807</v>
      </c>
      <c r="I16" s="832" t="s">
        <v>2819</v>
      </c>
      <c r="J16" s="7">
        <v>61</v>
      </c>
      <c r="K16" s="6">
        <v>66.656346999999997</v>
      </c>
      <c r="L16" s="14">
        <v>115.39543165133909</v>
      </c>
      <c r="M16" s="833">
        <v>0.89172838772687046</v>
      </c>
      <c r="N16" s="833">
        <v>0.73119945578984546</v>
      </c>
      <c r="O16" s="834"/>
      <c r="P16" s="835" t="s">
        <v>2820</v>
      </c>
      <c r="Q16" s="6">
        <v>87.188095238095244</v>
      </c>
      <c r="R16" s="6">
        <v>310</v>
      </c>
      <c r="S16" s="6"/>
      <c r="T16" s="6" t="s">
        <v>2821</v>
      </c>
      <c r="U16" s="831" t="s">
        <v>2822</v>
      </c>
      <c r="V16" s="836"/>
    </row>
    <row r="17" spans="2:22" s="829" customFormat="1" ht="76.5">
      <c r="B17" s="830" t="s">
        <v>2779</v>
      </c>
      <c r="C17" s="830">
        <v>1.1000000000000001</v>
      </c>
      <c r="D17" s="830" t="s">
        <v>419</v>
      </c>
      <c r="E17" s="6" t="s">
        <v>2811</v>
      </c>
      <c r="F17" s="831" t="s">
        <v>2823</v>
      </c>
      <c r="G17" s="7" t="s">
        <v>725</v>
      </c>
      <c r="H17" s="832" t="s">
        <v>2824</v>
      </c>
      <c r="I17" s="832" t="s">
        <v>2824</v>
      </c>
      <c r="J17" s="7">
        <v>90</v>
      </c>
      <c r="K17" s="6">
        <v>98.345429999999993</v>
      </c>
      <c r="L17" s="7">
        <v>94.767705913055508</v>
      </c>
      <c r="M17" s="833">
        <v>5.2974510145061202E-2</v>
      </c>
      <c r="N17" s="833">
        <v>-3.6379159529268269E-2</v>
      </c>
      <c r="O17" s="834"/>
      <c r="P17" s="835" t="s">
        <v>2782</v>
      </c>
      <c r="Q17" s="6"/>
      <c r="R17" s="6"/>
      <c r="S17" s="6"/>
      <c r="T17" s="6"/>
      <c r="U17" s="831" t="s">
        <v>2825</v>
      </c>
      <c r="V17" s="836"/>
    </row>
    <row r="18" spans="2:22" s="829" customFormat="1" ht="76.5">
      <c r="B18" s="830" t="s">
        <v>2779</v>
      </c>
      <c r="C18" s="830">
        <v>1.1100000000000001</v>
      </c>
      <c r="D18" s="830" t="s">
        <v>419</v>
      </c>
      <c r="E18" s="6" t="s">
        <v>690</v>
      </c>
      <c r="F18" s="831" t="s">
        <v>2826</v>
      </c>
      <c r="G18" s="7" t="s">
        <v>726</v>
      </c>
      <c r="H18" s="832" t="s">
        <v>2824</v>
      </c>
      <c r="I18" s="832" t="s">
        <v>2824</v>
      </c>
      <c r="J18" s="7">
        <v>130</v>
      </c>
      <c r="K18" s="6">
        <v>142.05450999999999</v>
      </c>
      <c r="L18" s="7">
        <v>151.01003590520261</v>
      </c>
      <c r="M18" s="833">
        <v>0.16161566080925088</v>
      </c>
      <c r="N18" s="833">
        <v>6.304288336359487E-2</v>
      </c>
      <c r="O18" s="834"/>
      <c r="P18" s="835" t="s">
        <v>2782</v>
      </c>
      <c r="Q18" s="6"/>
      <c r="R18" s="6"/>
      <c r="S18" s="6"/>
      <c r="T18" s="6"/>
      <c r="U18" s="831" t="s">
        <v>2827</v>
      </c>
      <c r="V18" s="836"/>
    </row>
    <row r="19" spans="2:22" s="829" customFormat="1" ht="63.75">
      <c r="B19" s="830" t="s">
        <v>2779</v>
      </c>
      <c r="C19" s="830">
        <v>1.1200000000000001</v>
      </c>
      <c r="D19" s="830" t="s">
        <v>2828</v>
      </c>
      <c r="E19" s="6" t="s">
        <v>690</v>
      </c>
      <c r="F19" s="831" t="s">
        <v>2829</v>
      </c>
      <c r="G19" s="7" t="s">
        <v>727</v>
      </c>
      <c r="H19" s="832" t="s">
        <v>2824</v>
      </c>
      <c r="I19" s="832" t="s">
        <v>2824</v>
      </c>
      <c r="J19" s="7">
        <v>225</v>
      </c>
      <c r="K19" s="6">
        <v>245.863575</v>
      </c>
      <c r="L19" s="7">
        <v>251.05327281475047</v>
      </c>
      <c r="M19" s="833">
        <v>0.11579232362111321</v>
      </c>
      <c r="N19" s="833">
        <v>2.1108038532143176E-2</v>
      </c>
      <c r="O19" s="834"/>
      <c r="P19" s="835" t="s">
        <v>2782</v>
      </c>
      <c r="Q19" s="6"/>
      <c r="R19" s="6"/>
      <c r="S19" s="6"/>
      <c r="T19" s="6"/>
      <c r="U19" s="831" t="s">
        <v>2827</v>
      </c>
      <c r="V19" s="836"/>
    </row>
    <row r="20" spans="2:22" s="829" customFormat="1" ht="127.5">
      <c r="B20" s="830" t="s">
        <v>2779</v>
      </c>
      <c r="C20" s="830">
        <v>1.1299999999999999</v>
      </c>
      <c r="D20" s="830" t="s">
        <v>2828</v>
      </c>
      <c r="E20" s="6" t="s">
        <v>690</v>
      </c>
      <c r="F20" s="831" t="s">
        <v>2830</v>
      </c>
      <c r="G20" s="7" t="s">
        <v>728</v>
      </c>
      <c r="H20" s="832" t="s">
        <v>2824</v>
      </c>
      <c r="I20" s="832" t="s">
        <v>2824</v>
      </c>
      <c r="J20" s="7">
        <v>225</v>
      </c>
      <c r="K20" s="6">
        <v>245.863575</v>
      </c>
      <c r="L20" s="7">
        <v>251.05327281475047</v>
      </c>
      <c r="M20" s="833">
        <v>0.11579232362111321</v>
      </c>
      <c r="N20" s="833">
        <v>2.1108038532143176E-2</v>
      </c>
      <c r="O20" s="834"/>
      <c r="P20" s="835" t="s">
        <v>2782</v>
      </c>
      <c r="Q20" s="6"/>
      <c r="R20" s="6"/>
      <c r="S20" s="6"/>
      <c r="T20" s="6"/>
      <c r="U20" s="831" t="s">
        <v>2827</v>
      </c>
      <c r="V20" s="836"/>
    </row>
    <row r="21" spans="2:22" s="829" customFormat="1" ht="89.25">
      <c r="B21" s="830" t="s">
        <v>2779</v>
      </c>
      <c r="C21" s="830">
        <v>1.1399999999999999</v>
      </c>
      <c r="D21" s="830" t="s">
        <v>2828</v>
      </c>
      <c r="E21" s="6" t="s">
        <v>690</v>
      </c>
      <c r="F21" s="831" t="s">
        <v>2831</v>
      </c>
      <c r="G21" s="6" t="s">
        <v>716</v>
      </c>
      <c r="H21" s="832" t="s">
        <v>2781</v>
      </c>
      <c r="I21" s="6" t="s">
        <v>1357</v>
      </c>
      <c r="J21" s="6">
        <v>750000</v>
      </c>
      <c r="K21" s="6">
        <v>819545.25</v>
      </c>
      <c r="L21" s="6">
        <v>834772.625</v>
      </c>
      <c r="M21" s="833">
        <v>0.11303016666666667</v>
      </c>
      <c r="N21" s="833">
        <v>1.858027363345709E-2</v>
      </c>
      <c r="O21" s="834"/>
      <c r="P21" s="835" t="s">
        <v>2832</v>
      </c>
      <c r="Q21" s="6">
        <v>1217522.3999999997</v>
      </c>
      <c r="R21" s="6">
        <v>850000</v>
      </c>
      <c r="S21" s="6"/>
      <c r="T21" s="6" t="s">
        <v>2833</v>
      </c>
      <c r="U21" s="831" t="s">
        <v>2834</v>
      </c>
      <c r="V21" s="836"/>
    </row>
    <row r="22" spans="2:22" s="829" customFormat="1" ht="76.5">
      <c r="B22" s="830" t="s">
        <v>2779</v>
      </c>
      <c r="C22" s="830">
        <v>1.1499999999999999</v>
      </c>
      <c r="D22" s="830" t="s">
        <v>2828</v>
      </c>
      <c r="E22" s="6" t="s">
        <v>690</v>
      </c>
      <c r="F22" s="831" t="s">
        <v>2835</v>
      </c>
      <c r="G22" s="6" t="s">
        <v>717</v>
      </c>
      <c r="H22" s="832" t="s">
        <v>2781</v>
      </c>
      <c r="I22" s="6" t="s">
        <v>1357</v>
      </c>
      <c r="J22" s="6">
        <v>2000000</v>
      </c>
      <c r="K22" s="6">
        <v>2185454</v>
      </c>
      <c r="L22" s="6">
        <v>2185454</v>
      </c>
      <c r="M22" s="833">
        <v>9.2727000000000004E-2</v>
      </c>
      <c r="N22" s="833">
        <v>0</v>
      </c>
      <c r="O22" s="834"/>
      <c r="P22" s="835" t="s">
        <v>2836</v>
      </c>
      <c r="Q22" s="6">
        <v>823452.89999999991</v>
      </c>
      <c r="R22" s="6">
        <v>2500000</v>
      </c>
      <c r="S22" s="6"/>
      <c r="T22" s="6" t="s">
        <v>2837</v>
      </c>
      <c r="U22" s="831" t="s">
        <v>2838</v>
      </c>
      <c r="V22" s="836"/>
    </row>
    <row r="23" spans="2:22" s="829" customFormat="1" ht="63.75">
      <c r="B23" s="830" t="s">
        <v>2779</v>
      </c>
      <c r="C23" s="830">
        <v>1.1599999999999999</v>
      </c>
      <c r="D23" s="830" t="s">
        <v>2828</v>
      </c>
      <c r="E23" s="6" t="s">
        <v>690</v>
      </c>
      <c r="F23" s="831" t="s">
        <v>2839</v>
      </c>
      <c r="G23" s="7" t="s">
        <v>505</v>
      </c>
      <c r="H23" s="832" t="s">
        <v>211</v>
      </c>
      <c r="I23" s="7" t="s">
        <v>211</v>
      </c>
      <c r="J23" s="7">
        <v>75</v>
      </c>
      <c r="K23" s="6">
        <v>81.954525000000004</v>
      </c>
      <c r="L23" s="7">
        <v>72.619315080162522</v>
      </c>
      <c r="M23" s="833">
        <v>-3.1742465597833038E-2</v>
      </c>
      <c r="N23" s="833">
        <v>-0.11390719328600198</v>
      </c>
      <c r="O23" s="834">
        <v>60.5</v>
      </c>
      <c r="P23" s="835" t="s">
        <v>2782</v>
      </c>
      <c r="Q23" s="6"/>
      <c r="R23" s="6"/>
      <c r="S23" s="6"/>
      <c r="T23" s="6"/>
      <c r="U23" s="831" t="s">
        <v>2840</v>
      </c>
      <c r="V23" s="836"/>
    </row>
    <row r="24" spans="2:22" s="829" customFormat="1" ht="38.25">
      <c r="B24" s="830" t="s">
        <v>2779</v>
      </c>
      <c r="C24" s="830">
        <v>1.17</v>
      </c>
      <c r="D24" s="830" t="s">
        <v>2828</v>
      </c>
      <c r="E24" s="6" t="s">
        <v>690</v>
      </c>
      <c r="F24" s="831" t="s">
        <v>2841</v>
      </c>
      <c r="G24" s="6" t="s">
        <v>709</v>
      </c>
      <c r="H24" s="832" t="s">
        <v>2781</v>
      </c>
      <c r="I24" s="6" t="s">
        <v>2842</v>
      </c>
      <c r="J24" s="6">
        <v>92500</v>
      </c>
      <c r="K24" s="6">
        <v>101077.2475</v>
      </c>
      <c r="L24" s="6">
        <v>103843.48921258037</v>
      </c>
      <c r="M24" s="833">
        <v>0.12263231581167973</v>
      </c>
      <c r="N24" s="833">
        <v>2.7367600335380885E-2</v>
      </c>
      <c r="O24" s="834"/>
      <c r="P24" s="835" t="s">
        <v>2782</v>
      </c>
      <c r="Q24" s="6"/>
      <c r="R24" s="6"/>
      <c r="S24" s="6"/>
      <c r="T24" s="6"/>
      <c r="U24" s="831" t="s">
        <v>2843</v>
      </c>
      <c r="V24" s="836"/>
    </row>
    <row r="25" spans="2:22" s="829" customFormat="1" ht="38.25">
      <c r="B25" s="830" t="s">
        <v>2779</v>
      </c>
      <c r="C25" s="830">
        <v>1.18</v>
      </c>
      <c r="D25" s="830" t="s">
        <v>2828</v>
      </c>
      <c r="E25" s="6" t="s">
        <v>690</v>
      </c>
      <c r="F25" s="831" t="s">
        <v>2844</v>
      </c>
      <c r="G25" s="6" t="s">
        <v>2100</v>
      </c>
      <c r="H25" s="832" t="s">
        <v>2781</v>
      </c>
      <c r="I25" s="6" t="s">
        <v>2842</v>
      </c>
      <c r="J25" s="6">
        <v>77500</v>
      </c>
      <c r="K25" s="6">
        <v>84686.342499999999</v>
      </c>
      <c r="L25" s="6">
        <v>69863.238958109083</v>
      </c>
      <c r="M25" s="833">
        <v>-9.8538852153431195E-2</v>
      </c>
      <c r="N25" s="833">
        <v>-0.17503534931728709</v>
      </c>
      <c r="O25" s="834"/>
      <c r="P25" s="835" t="s">
        <v>2782</v>
      </c>
      <c r="Q25" s="6"/>
      <c r="R25" s="6"/>
      <c r="S25" s="6"/>
      <c r="T25" s="6"/>
      <c r="U25" s="831" t="s">
        <v>2843</v>
      </c>
      <c r="V25" s="836"/>
    </row>
    <row r="26" spans="2:22" s="829" customFormat="1" ht="38.25">
      <c r="B26" s="830" t="s">
        <v>2779</v>
      </c>
      <c r="C26" s="830">
        <v>1.19</v>
      </c>
      <c r="D26" s="830" t="s">
        <v>2828</v>
      </c>
      <c r="E26" s="6" t="s">
        <v>690</v>
      </c>
      <c r="F26" s="831" t="s">
        <v>2845</v>
      </c>
      <c r="G26" s="6" t="s">
        <v>707</v>
      </c>
      <c r="H26" s="832" t="s">
        <v>2781</v>
      </c>
      <c r="I26" s="6" t="s">
        <v>2842</v>
      </c>
      <c r="J26" s="6">
        <v>62500</v>
      </c>
      <c r="K26" s="6">
        <v>68295.4375</v>
      </c>
      <c r="L26" s="6">
        <v>47699.644353826101</v>
      </c>
      <c r="M26" s="833">
        <v>-0.23680569033878238</v>
      </c>
      <c r="N26" s="833">
        <v>-0.30156909304774421</v>
      </c>
      <c r="O26" s="834"/>
      <c r="P26" s="835" t="s">
        <v>2782</v>
      </c>
      <c r="Q26" s="6"/>
      <c r="R26" s="6"/>
      <c r="S26" s="6"/>
      <c r="T26" s="6"/>
      <c r="U26" s="831" t="s">
        <v>2843</v>
      </c>
      <c r="V26" s="836"/>
    </row>
    <row r="27" spans="2:22" s="829" customFormat="1" ht="51">
      <c r="B27" s="830" t="s">
        <v>2779</v>
      </c>
      <c r="C27" s="830">
        <v>1.2</v>
      </c>
      <c r="D27" s="830" t="s">
        <v>2828</v>
      </c>
      <c r="E27" s="6" t="s">
        <v>690</v>
      </c>
      <c r="F27" s="831" t="s">
        <v>2846</v>
      </c>
      <c r="G27" s="6" t="s">
        <v>711</v>
      </c>
      <c r="H27" s="832" t="s">
        <v>2781</v>
      </c>
      <c r="I27" s="6" t="s">
        <v>2847</v>
      </c>
      <c r="J27" s="6">
        <v>65000</v>
      </c>
      <c r="K27" s="6">
        <v>71027.255000000005</v>
      </c>
      <c r="L27" s="6">
        <v>70531.411672805887</v>
      </c>
      <c r="M27" s="833">
        <v>8.5098641120090565E-2</v>
      </c>
      <c r="N27" s="833">
        <v>-6.9810290035017906E-3</v>
      </c>
      <c r="O27" s="834">
        <v>71500</v>
      </c>
      <c r="P27" s="835" t="s">
        <v>2782</v>
      </c>
      <c r="Q27" s="6"/>
      <c r="R27" s="6"/>
      <c r="S27" s="6"/>
      <c r="T27" s="6"/>
      <c r="U27" s="831" t="s">
        <v>2843</v>
      </c>
      <c r="V27" s="836"/>
    </row>
    <row r="28" spans="2:22" s="829" customFormat="1" ht="51">
      <c r="B28" s="830" t="s">
        <v>2779</v>
      </c>
      <c r="C28" s="830" t="s">
        <v>2848</v>
      </c>
      <c r="D28" s="830" t="s">
        <v>2828</v>
      </c>
      <c r="E28" s="6" t="s">
        <v>690</v>
      </c>
      <c r="F28" s="831" t="s">
        <v>2849</v>
      </c>
      <c r="G28" s="6" t="s">
        <v>2113</v>
      </c>
      <c r="H28" s="832" t="s">
        <v>2781</v>
      </c>
      <c r="I28" s="6" t="s">
        <v>2847</v>
      </c>
      <c r="J28" s="6">
        <v>460000</v>
      </c>
      <c r="K28" s="6">
        <v>502654.42</v>
      </c>
      <c r="L28" s="6">
        <v>80790.493661522007</v>
      </c>
      <c r="M28" s="833">
        <v>-0.8243684920401696</v>
      </c>
      <c r="N28" s="833">
        <v>-0.83927229037094309</v>
      </c>
      <c r="O28" s="834"/>
      <c r="P28" s="835" t="s">
        <v>2850</v>
      </c>
      <c r="Q28" s="6"/>
      <c r="R28" s="6"/>
      <c r="S28" s="6"/>
      <c r="T28" s="6"/>
      <c r="U28" s="831" t="s">
        <v>2843</v>
      </c>
      <c r="V28" s="836"/>
    </row>
    <row r="29" spans="2:22" s="829" customFormat="1" ht="89.25">
      <c r="B29" s="830" t="s">
        <v>2779</v>
      </c>
      <c r="C29" s="830">
        <v>1.21</v>
      </c>
      <c r="D29" s="830" t="s">
        <v>2828</v>
      </c>
      <c r="E29" s="6" t="s">
        <v>690</v>
      </c>
      <c r="F29" s="831" t="s">
        <v>2851</v>
      </c>
      <c r="G29" s="7" t="s">
        <v>720</v>
      </c>
      <c r="H29" s="832" t="s">
        <v>211</v>
      </c>
      <c r="I29" s="7" t="s">
        <v>211</v>
      </c>
      <c r="J29" s="7">
        <v>185</v>
      </c>
      <c r="K29" s="6">
        <v>202.154495</v>
      </c>
      <c r="L29" s="7">
        <v>291.88002303185453</v>
      </c>
      <c r="M29" s="833">
        <v>0.57772985422624068</v>
      </c>
      <c r="N29" s="833">
        <v>0.44384631680762054</v>
      </c>
      <c r="O29" s="834"/>
      <c r="P29" s="835" t="s">
        <v>2782</v>
      </c>
      <c r="Q29" s="6"/>
      <c r="R29" s="6"/>
      <c r="S29" s="6"/>
      <c r="T29" s="6"/>
      <c r="U29" s="831" t="s">
        <v>2852</v>
      </c>
      <c r="V29" s="836"/>
    </row>
    <row r="30" spans="2:22" s="829" customFormat="1" ht="89.25">
      <c r="B30" s="830" t="s">
        <v>2779</v>
      </c>
      <c r="C30" s="830">
        <v>1.22</v>
      </c>
      <c r="D30" s="830" t="s">
        <v>2828</v>
      </c>
      <c r="E30" s="6" t="s">
        <v>690</v>
      </c>
      <c r="F30" s="831" t="s">
        <v>2853</v>
      </c>
      <c r="G30" s="7" t="s">
        <v>721</v>
      </c>
      <c r="H30" s="832" t="s">
        <v>211</v>
      </c>
      <c r="I30" s="7" t="s">
        <v>211</v>
      </c>
      <c r="J30" s="7">
        <v>295</v>
      </c>
      <c r="K30" s="6">
        <v>322.354465</v>
      </c>
      <c r="L30" s="7">
        <v>449.39671088485608</v>
      </c>
      <c r="M30" s="833">
        <v>0.5233786809656138</v>
      </c>
      <c r="N30" s="833">
        <v>0.39410729392209931</v>
      </c>
      <c r="O30" s="834"/>
      <c r="P30" s="835" t="s">
        <v>2782</v>
      </c>
      <c r="Q30" s="6"/>
      <c r="R30" s="6"/>
      <c r="S30" s="6"/>
      <c r="T30" s="6"/>
      <c r="U30" s="831" t="s">
        <v>2854</v>
      </c>
      <c r="V30" s="836"/>
    </row>
    <row r="31" spans="2:22" s="829" customFormat="1" ht="140.25">
      <c r="B31" s="830" t="s">
        <v>2779</v>
      </c>
      <c r="C31" s="830">
        <v>1.23</v>
      </c>
      <c r="D31" s="830" t="s">
        <v>2828</v>
      </c>
      <c r="E31" s="6" t="s">
        <v>690</v>
      </c>
      <c r="F31" s="831" t="s">
        <v>2855</v>
      </c>
      <c r="G31" s="7" t="s">
        <v>1351</v>
      </c>
      <c r="H31" s="832" t="s">
        <v>211</v>
      </c>
      <c r="I31" s="6" t="s">
        <v>211</v>
      </c>
      <c r="J31" s="6">
        <v>850</v>
      </c>
      <c r="K31" s="6">
        <v>928.81795</v>
      </c>
      <c r="L31" s="7">
        <v>1143.656535052507</v>
      </c>
      <c r="M31" s="833">
        <v>0.34547827653236118</v>
      </c>
      <c r="N31" s="833">
        <v>0.23130322260945435</v>
      </c>
      <c r="O31" s="834"/>
      <c r="P31" s="835" t="s">
        <v>2782</v>
      </c>
      <c r="Q31" s="6"/>
      <c r="R31" s="6"/>
      <c r="S31" s="6"/>
      <c r="T31" s="6"/>
      <c r="U31" s="831" t="s">
        <v>2856</v>
      </c>
      <c r="V31" s="836"/>
    </row>
    <row r="32" spans="2:22" s="829" customFormat="1" ht="63.75">
      <c r="B32" s="830" t="s">
        <v>2779</v>
      </c>
      <c r="C32" s="830">
        <v>1.24</v>
      </c>
      <c r="D32" s="830" t="s">
        <v>2828</v>
      </c>
      <c r="E32" s="6" t="s">
        <v>690</v>
      </c>
      <c r="F32" s="831" t="s">
        <v>2857</v>
      </c>
      <c r="G32" s="7" t="s">
        <v>723</v>
      </c>
      <c r="H32" s="832" t="s">
        <v>211</v>
      </c>
      <c r="I32" s="7" t="s">
        <v>211</v>
      </c>
      <c r="J32" s="7">
        <v>150</v>
      </c>
      <c r="K32" s="6">
        <v>163.90905000000001</v>
      </c>
      <c r="L32" s="7">
        <v>322.58935106860423</v>
      </c>
      <c r="M32" s="833">
        <v>1.1505956737906948</v>
      </c>
      <c r="N32" s="833">
        <v>0.9680996935105427</v>
      </c>
      <c r="O32" s="834"/>
      <c r="P32" s="835" t="s">
        <v>2782</v>
      </c>
      <c r="Q32" s="6"/>
      <c r="R32" s="6"/>
      <c r="S32" s="6"/>
      <c r="T32" s="6"/>
      <c r="U32" s="831" t="s">
        <v>2858</v>
      </c>
      <c r="V32" s="836"/>
    </row>
    <row r="33" spans="2:22" s="829" customFormat="1" ht="51">
      <c r="B33" s="830" t="s">
        <v>2779</v>
      </c>
      <c r="C33" s="830">
        <v>1.25</v>
      </c>
      <c r="D33" s="830" t="s">
        <v>2828</v>
      </c>
      <c r="E33" s="6" t="s">
        <v>690</v>
      </c>
      <c r="F33" s="831" t="s">
        <v>2859</v>
      </c>
      <c r="G33" s="7" t="s">
        <v>722</v>
      </c>
      <c r="H33" s="832" t="s">
        <v>211</v>
      </c>
      <c r="I33" s="7" t="s">
        <v>211</v>
      </c>
      <c r="J33" s="7">
        <v>950</v>
      </c>
      <c r="K33" s="6">
        <v>1038.0906500000001</v>
      </c>
      <c r="L33" s="7">
        <v>1447.7095364490337</v>
      </c>
      <c r="M33" s="833">
        <v>0.52390477520950918</v>
      </c>
      <c r="N33" s="833">
        <v>0.39458874468143373</v>
      </c>
      <c r="O33" s="834"/>
      <c r="P33" s="835" t="s">
        <v>2782</v>
      </c>
      <c r="Q33" s="6"/>
      <c r="R33" s="6"/>
      <c r="S33" s="6"/>
      <c r="T33" s="6"/>
      <c r="U33" s="831" t="s">
        <v>2860</v>
      </c>
      <c r="V33" s="836"/>
    </row>
    <row r="34" spans="2:22" s="829" customFormat="1" ht="51">
      <c r="B34" s="830" t="s">
        <v>2779</v>
      </c>
      <c r="C34" s="830">
        <v>1.26</v>
      </c>
      <c r="D34" s="830" t="s">
        <v>2828</v>
      </c>
      <c r="E34" s="6" t="s">
        <v>2811</v>
      </c>
      <c r="F34" s="831" t="s">
        <v>2861</v>
      </c>
      <c r="G34" s="6" t="s">
        <v>1356</v>
      </c>
      <c r="H34" s="832" t="s">
        <v>2781</v>
      </c>
      <c r="I34" s="6" t="s">
        <v>2862</v>
      </c>
      <c r="J34" s="6">
        <v>25000</v>
      </c>
      <c r="K34" s="6">
        <v>27318.174999999999</v>
      </c>
      <c r="L34" s="6">
        <v>28135.016470396458</v>
      </c>
      <c r="M34" s="833">
        <v>0.12540065881585832</v>
      </c>
      <c r="N34" s="833">
        <v>2.9901026345883614E-2</v>
      </c>
      <c r="O34" s="834"/>
      <c r="P34" s="835" t="s">
        <v>2782</v>
      </c>
      <c r="Q34" s="6">
        <v>110088</v>
      </c>
      <c r="R34" s="6">
        <v>40000</v>
      </c>
      <c r="S34" s="6"/>
      <c r="T34" s="6" t="s">
        <v>2863</v>
      </c>
      <c r="U34" s="831" t="s">
        <v>2864</v>
      </c>
      <c r="V34" s="836"/>
    </row>
    <row r="35" spans="2:22" s="829" customFormat="1" ht="63.75">
      <c r="B35" s="830" t="s">
        <v>2779</v>
      </c>
      <c r="C35" s="830">
        <v>1.27</v>
      </c>
      <c r="D35" s="830" t="s">
        <v>2828</v>
      </c>
      <c r="E35" s="7" t="s">
        <v>690</v>
      </c>
      <c r="F35" s="831" t="s">
        <v>2865</v>
      </c>
      <c r="G35" s="6" t="s">
        <v>712</v>
      </c>
      <c r="H35" s="832" t="s">
        <v>2781</v>
      </c>
      <c r="I35" s="6" t="s">
        <v>2866</v>
      </c>
      <c r="J35" s="6">
        <v>10000</v>
      </c>
      <c r="K35" s="6">
        <v>10927.27</v>
      </c>
      <c r="L35" s="6">
        <v>11386.968335452781</v>
      </c>
      <c r="M35" s="833">
        <v>0.13869683354527806</v>
      </c>
      <c r="N35" s="833">
        <v>4.206890975081426E-2</v>
      </c>
      <c r="O35" s="834">
        <v>10000</v>
      </c>
      <c r="P35" s="835" t="s">
        <v>2782</v>
      </c>
      <c r="Q35" s="6"/>
      <c r="R35" s="6"/>
      <c r="S35" s="6"/>
      <c r="T35" s="6"/>
      <c r="U35" s="831" t="s">
        <v>2867</v>
      </c>
      <c r="V35" s="836"/>
    </row>
    <row r="36" spans="2:22" s="829" customFormat="1" ht="63.75">
      <c r="B36" s="830" t="s">
        <v>2779</v>
      </c>
      <c r="C36" s="830">
        <v>1.28</v>
      </c>
      <c r="D36" s="830" t="s">
        <v>2828</v>
      </c>
      <c r="E36" s="7" t="s">
        <v>690</v>
      </c>
      <c r="F36" s="831" t="s">
        <v>2868</v>
      </c>
      <c r="G36" s="6" t="s">
        <v>708</v>
      </c>
      <c r="H36" s="832" t="s">
        <v>2781</v>
      </c>
      <c r="I36" s="6" t="s">
        <v>2866</v>
      </c>
      <c r="J36" s="6">
        <v>30000</v>
      </c>
      <c r="K36" s="6">
        <v>32781.81</v>
      </c>
      <c r="L36" s="6">
        <v>30008.224095300633</v>
      </c>
      <c r="M36" s="833">
        <v>2.7413651002110176E-4</v>
      </c>
      <c r="N36" s="833">
        <v>-8.4607466906170367E-2</v>
      </c>
      <c r="O36" s="834">
        <v>30000</v>
      </c>
      <c r="P36" s="835" t="s">
        <v>2782</v>
      </c>
      <c r="Q36" s="6"/>
      <c r="R36" s="6"/>
      <c r="S36" s="6"/>
      <c r="T36" s="6"/>
      <c r="U36" s="831" t="s">
        <v>2867</v>
      </c>
      <c r="V36" s="836"/>
    </row>
    <row r="37" spans="2:22" s="829" customFormat="1" ht="63.75">
      <c r="B37" s="830" t="s">
        <v>2779</v>
      </c>
      <c r="C37" s="830">
        <v>1.29</v>
      </c>
      <c r="D37" s="830" t="s">
        <v>2828</v>
      </c>
      <c r="E37" s="7" t="s">
        <v>690</v>
      </c>
      <c r="F37" s="831" t="s">
        <v>2869</v>
      </c>
      <c r="G37" s="6" t="s">
        <v>713</v>
      </c>
      <c r="H37" s="832" t="s">
        <v>2781</v>
      </c>
      <c r="I37" s="6" t="s">
        <v>2866</v>
      </c>
      <c r="J37" s="6">
        <v>45000</v>
      </c>
      <c r="K37" s="6">
        <v>49172.715000000004</v>
      </c>
      <c r="L37" s="6">
        <v>47770.386556658908</v>
      </c>
      <c r="M37" s="833">
        <v>6.1564145703531296E-2</v>
      </c>
      <c r="N37" s="833">
        <v>-2.8518426191051181E-2</v>
      </c>
      <c r="O37" s="834">
        <v>45000</v>
      </c>
      <c r="P37" s="835" t="s">
        <v>2782</v>
      </c>
      <c r="Q37" s="6"/>
      <c r="R37" s="6"/>
      <c r="S37" s="6"/>
      <c r="T37" s="6"/>
      <c r="U37" s="831" t="s">
        <v>2867</v>
      </c>
      <c r="V37" s="836"/>
    </row>
    <row r="38" spans="2:22" s="829" customFormat="1" ht="63.75">
      <c r="B38" s="830" t="s">
        <v>2779</v>
      </c>
      <c r="C38" s="830">
        <v>1.3</v>
      </c>
      <c r="D38" s="830" t="s">
        <v>2828</v>
      </c>
      <c r="E38" s="7" t="s">
        <v>690</v>
      </c>
      <c r="F38" s="831" t="s">
        <v>2870</v>
      </c>
      <c r="G38" s="6" t="s">
        <v>2107</v>
      </c>
      <c r="H38" s="832" t="s">
        <v>2781</v>
      </c>
      <c r="I38" s="6" t="s">
        <v>2866</v>
      </c>
      <c r="J38" s="6">
        <v>100000</v>
      </c>
      <c r="K38" s="6">
        <v>109272.7</v>
      </c>
      <c r="L38" s="6">
        <v>82425.173653061036</v>
      </c>
      <c r="M38" s="833">
        <v>-0.17574826346938963</v>
      </c>
      <c r="N38" s="833">
        <v>-0.24569289810665393</v>
      </c>
      <c r="O38" s="834">
        <v>100000</v>
      </c>
      <c r="P38" s="835" t="s">
        <v>2782</v>
      </c>
      <c r="Q38" s="6"/>
      <c r="R38" s="6"/>
      <c r="S38" s="6"/>
      <c r="T38" s="6"/>
      <c r="U38" s="831" t="s">
        <v>2867</v>
      </c>
      <c r="V38" s="836"/>
    </row>
    <row r="39" spans="2:22" s="829" customFormat="1" ht="63.75">
      <c r="B39" s="830" t="s">
        <v>2779</v>
      </c>
      <c r="C39" s="830">
        <v>1.31</v>
      </c>
      <c r="D39" s="830" t="s">
        <v>2828</v>
      </c>
      <c r="E39" s="7" t="s">
        <v>690</v>
      </c>
      <c r="F39" s="831" t="s">
        <v>2871</v>
      </c>
      <c r="G39" s="6" t="s">
        <v>2109</v>
      </c>
      <c r="H39" s="841" t="s">
        <v>2781</v>
      </c>
      <c r="I39" s="842" t="s">
        <v>2866</v>
      </c>
      <c r="J39" s="842">
        <v>100000</v>
      </c>
      <c r="K39" s="6">
        <v>109272.7</v>
      </c>
      <c r="L39" s="6">
        <v>136798.38932424033</v>
      </c>
      <c r="M39" s="833">
        <v>0.36798389324240327</v>
      </c>
      <c r="N39" s="833">
        <v>0.25189905003024848</v>
      </c>
      <c r="O39" s="834">
        <v>175000</v>
      </c>
      <c r="P39" s="835" t="s">
        <v>2782</v>
      </c>
      <c r="Q39" s="6"/>
      <c r="R39" s="6"/>
      <c r="S39" s="6"/>
      <c r="T39" s="6"/>
      <c r="U39" s="831" t="s">
        <v>2872</v>
      </c>
      <c r="V39" s="836"/>
    </row>
    <row r="40" spans="2:22" s="829" customFormat="1" ht="38.25">
      <c r="B40" s="830" t="s">
        <v>2779</v>
      </c>
      <c r="C40" s="830">
        <v>1.32</v>
      </c>
      <c r="D40" s="830" t="s">
        <v>2828</v>
      </c>
      <c r="E40" s="7" t="s">
        <v>690</v>
      </c>
      <c r="F40" s="831" t="s">
        <v>2873</v>
      </c>
      <c r="G40" s="6" t="s">
        <v>2115</v>
      </c>
      <c r="H40" s="832" t="s">
        <v>2781</v>
      </c>
      <c r="I40" s="6" t="s">
        <v>2866</v>
      </c>
      <c r="J40" s="6">
        <v>21000</v>
      </c>
      <c r="K40" s="6">
        <v>22947.267</v>
      </c>
      <c r="L40" s="6">
        <v>10973.846640948901</v>
      </c>
      <c r="M40" s="833">
        <v>-0.47743587424052852</v>
      </c>
      <c r="N40" s="833">
        <v>-0.52177979883404413</v>
      </c>
      <c r="O40" s="834">
        <v>21000</v>
      </c>
      <c r="P40" s="835" t="s">
        <v>2782</v>
      </c>
      <c r="Q40" s="6"/>
      <c r="R40" s="6"/>
      <c r="S40" s="6"/>
      <c r="T40" s="6"/>
      <c r="U40" s="831" t="s">
        <v>2874</v>
      </c>
      <c r="V40" s="836"/>
    </row>
    <row r="41" spans="2:22" s="829" customFormat="1" ht="51">
      <c r="B41" s="830" t="s">
        <v>2779</v>
      </c>
      <c r="C41" s="830">
        <v>1.33</v>
      </c>
      <c r="D41" s="830" t="s">
        <v>2828</v>
      </c>
      <c r="E41" s="7" t="s">
        <v>690</v>
      </c>
      <c r="F41" s="831" t="s">
        <v>2875</v>
      </c>
      <c r="G41" s="6" t="s">
        <v>710</v>
      </c>
      <c r="H41" s="832" t="s">
        <v>2781</v>
      </c>
      <c r="I41" s="6" t="s">
        <v>2866</v>
      </c>
      <c r="J41" s="6">
        <v>30000</v>
      </c>
      <c r="K41" s="6">
        <v>32781.81</v>
      </c>
      <c r="L41" s="6">
        <v>15313.803593961336</v>
      </c>
      <c r="M41" s="833">
        <v>-0.4895398802012888</v>
      </c>
      <c r="N41" s="833">
        <v>-0.53285667893379474</v>
      </c>
      <c r="O41" s="834">
        <v>30000</v>
      </c>
      <c r="P41" s="835" t="s">
        <v>2782</v>
      </c>
      <c r="Q41" s="6"/>
      <c r="R41" s="6"/>
      <c r="S41" s="6"/>
      <c r="T41" s="6"/>
      <c r="U41" s="831" t="s">
        <v>2874</v>
      </c>
      <c r="V41" s="836"/>
    </row>
    <row r="42" spans="2:22" s="829" customFormat="1" ht="38.1" customHeight="1">
      <c r="B42" s="830" t="s">
        <v>2809</v>
      </c>
      <c r="C42" s="830"/>
      <c r="D42" s="830" t="s">
        <v>2783</v>
      </c>
      <c r="E42" s="7" t="s">
        <v>690</v>
      </c>
      <c r="F42" s="831"/>
      <c r="G42" s="6" t="s">
        <v>2118</v>
      </c>
      <c r="H42" s="832"/>
      <c r="I42" s="6" t="s">
        <v>2866</v>
      </c>
      <c r="J42" s="6" t="s">
        <v>2783</v>
      </c>
      <c r="K42" s="6" t="s">
        <v>2783</v>
      </c>
      <c r="L42" s="6">
        <v>19643.334665387938</v>
      </c>
      <c r="M42" s="833" t="s">
        <v>2810</v>
      </c>
      <c r="N42" s="833" t="s">
        <v>2810</v>
      </c>
      <c r="O42" s="834"/>
      <c r="P42" s="835" t="s">
        <v>2782</v>
      </c>
      <c r="Q42" s="6"/>
      <c r="R42" s="6"/>
      <c r="S42" s="6"/>
      <c r="T42" s="6"/>
      <c r="U42" s="831"/>
      <c r="V42" s="836"/>
    </row>
    <row r="43" spans="2:22" s="829" customFormat="1" ht="38.25">
      <c r="B43" s="830" t="s">
        <v>2779</v>
      </c>
      <c r="C43" s="830">
        <v>1.34</v>
      </c>
      <c r="D43" s="830" t="s">
        <v>2828</v>
      </c>
      <c r="E43" s="7" t="s">
        <v>690</v>
      </c>
      <c r="F43" s="831" t="s">
        <v>2876</v>
      </c>
      <c r="G43" s="7" t="s">
        <v>1966</v>
      </c>
      <c r="H43" s="832" t="s">
        <v>211</v>
      </c>
      <c r="I43" s="7" t="s">
        <v>211</v>
      </c>
      <c r="J43" s="7">
        <v>25</v>
      </c>
      <c r="K43" s="6">
        <v>27.318175</v>
      </c>
      <c r="L43" s="7">
        <v>13.355998967123895</v>
      </c>
      <c r="M43" s="833">
        <v>-0.46576004131504417</v>
      </c>
      <c r="N43" s="833">
        <v>-0.5110947577162861</v>
      </c>
      <c r="O43" s="834"/>
      <c r="P43" s="835" t="s">
        <v>2782</v>
      </c>
      <c r="Q43" s="6"/>
      <c r="R43" s="6"/>
      <c r="S43" s="6"/>
      <c r="T43" s="6"/>
      <c r="U43" s="831" t="s">
        <v>2877</v>
      </c>
      <c r="V43" s="836"/>
    </row>
    <row r="44" spans="2:22" s="829" customFormat="1" ht="38.25">
      <c r="B44" s="830" t="s">
        <v>2779</v>
      </c>
      <c r="C44" s="830">
        <v>1.35</v>
      </c>
      <c r="D44" s="830" t="s">
        <v>2828</v>
      </c>
      <c r="E44" s="7" t="s">
        <v>690</v>
      </c>
      <c r="F44" s="831" t="s">
        <v>2878</v>
      </c>
      <c r="G44" s="7" t="s">
        <v>1967</v>
      </c>
      <c r="H44" s="832" t="s">
        <v>211</v>
      </c>
      <c r="I44" s="7" t="s">
        <v>211</v>
      </c>
      <c r="J44" s="7">
        <v>60</v>
      </c>
      <c r="K44" s="6">
        <v>65.56362</v>
      </c>
      <c r="L44" s="7">
        <v>23.552906380322558</v>
      </c>
      <c r="M44" s="833">
        <v>-0.60745156032795744</v>
      </c>
      <c r="N44" s="833">
        <v>-0.64076256954203337</v>
      </c>
      <c r="O44" s="834"/>
      <c r="P44" s="835" t="s">
        <v>2782</v>
      </c>
      <c r="Q44" s="6"/>
      <c r="R44" s="6"/>
      <c r="S44" s="6"/>
      <c r="T44" s="6"/>
      <c r="U44" s="831" t="s">
        <v>2879</v>
      </c>
      <c r="V44" s="836"/>
    </row>
    <row r="45" spans="2:22" s="829" customFormat="1" ht="38.25">
      <c r="B45" s="830" t="s">
        <v>2779</v>
      </c>
      <c r="C45" s="830">
        <v>1.36</v>
      </c>
      <c r="D45" s="830" t="s">
        <v>2828</v>
      </c>
      <c r="E45" s="7" t="s">
        <v>690</v>
      </c>
      <c r="F45" s="831" t="s">
        <v>2880</v>
      </c>
      <c r="G45" s="7" t="s">
        <v>1968</v>
      </c>
      <c r="H45" s="832" t="s">
        <v>211</v>
      </c>
      <c r="I45" s="7" t="s">
        <v>211</v>
      </c>
      <c r="J45" s="7">
        <v>165</v>
      </c>
      <c r="K45" s="6">
        <v>180.29995500000001</v>
      </c>
      <c r="L45" s="7">
        <v>60.91409510127653</v>
      </c>
      <c r="M45" s="833">
        <v>-0.63082366605286955</v>
      </c>
      <c r="N45" s="833">
        <v>-0.6621513571577069</v>
      </c>
      <c r="O45" s="834"/>
      <c r="P45" s="835" t="s">
        <v>2782</v>
      </c>
      <c r="Q45" s="6"/>
      <c r="R45" s="6"/>
      <c r="S45" s="6"/>
      <c r="T45" s="6"/>
      <c r="U45" s="831" t="s">
        <v>2881</v>
      </c>
      <c r="V45" s="836"/>
    </row>
    <row r="46" spans="2:22" s="829" customFormat="1" ht="39.6" customHeight="1">
      <c r="B46" s="830" t="s">
        <v>2809</v>
      </c>
      <c r="C46" s="830"/>
      <c r="D46" s="830" t="s">
        <v>2783</v>
      </c>
      <c r="E46" s="7" t="s">
        <v>690</v>
      </c>
      <c r="F46" s="831"/>
      <c r="G46" s="7" t="s">
        <v>483</v>
      </c>
      <c r="H46" s="832"/>
      <c r="I46" s="7" t="s">
        <v>211</v>
      </c>
      <c r="J46" s="7" t="s">
        <v>2783</v>
      </c>
      <c r="K46" s="7" t="s">
        <v>2783</v>
      </c>
      <c r="L46" s="7">
        <v>33.891578025824423</v>
      </c>
      <c r="M46" s="833" t="s">
        <v>2810</v>
      </c>
      <c r="N46" s="833" t="s">
        <v>2810</v>
      </c>
      <c r="O46" s="834"/>
      <c r="P46" s="835" t="s">
        <v>2782</v>
      </c>
      <c r="Q46" s="6"/>
      <c r="R46" s="6"/>
      <c r="S46" s="6"/>
      <c r="T46" s="6"/>
      <c r="U46" s="831"/>
      <c r="V46" s="836"/>
    </row>
    <row r="47" spans="2:22" s="829" customFormat="1" ht="39.6" customHeight="1">
      <c r="B47" s="830" t="s">
        <v>2809</v>
      </c>
      <c r="C47" s="830"/>
      <c r="D47" s="830" t="s">
        <v>2783</v>
      </c>
      <c r="E47" s="7" t="s">
        <v>690</v>
      </c>
      <c r="F47" s="831"/>
      <c r="G47" s="7" t="s">
        <v>484</v>
      </c>
      <c r="H47" s="832"/>
      <c r="I47" s="7" t="s">
        <v>211</v>
      </c>
      <c r="J47" s="7" t="s">
        <v>2783</v>
      </c>
      <c r="K47" s="7" t="s">
        <v>2783</v>
      </c>
      <c r="L47" s="7">
        <v>37.747606151236781</v>
      </c>
      <c r="M47" s="833" t="s">
        <v>2810</v>
      </c>
      <c r="N47" s="833" t="s">
        <v>2810</v>
      </c>
      <c r="O47" s="834"/>
      <c r="P47" s="835" t="s">
        <v>2782</v>
      </c>
      <c r="Q47" s="6"/>
      <c r="R47" s="6"/>
      <c r="S47" s="6"/>
      <c r="T47" s="6"/>
      <c r="U47" s="831"/>
      <c r="V47" s="836"/>
    </row>
    <row r="48" spans="2:22" s="829" customFormat="1" ht="39.6" customHeight="1">
      <c r="B48" s="830" t="s">
        <v>2779</v>
      </c>
      <c r="C48" s="830"/>
      <c r="D48" s="830" t="s">
        <v>2783</v>
      </c>
      <c r="E48" s="7" t="s">
        <v>690</v>
      </c>
      <c r="F48" s="831"/>
      <c r="G48" s="7" t="s">
        <v>1963</v>
      </c>
      <c r="H48" s="832"/>
      <c r="I48" s="7" t="s">
        <v>211</v>
      </c>
      <c r="J48" s="7" t="s">
        <v>2783</v>
      </c>
      <c r="K48" s="7" t="s">
        <v>2783</v>
      </c>
      <c r="L48" s="7">
        <v>62.958022384869679</v>
      </c>
      <c r="M48" s="833" t="s">
        <v>2810</v>
      </c>
      <c r="N48" s="833" t="s">
        <v>2810</v>
      </c>
      <c r="O48" s="834"/>
      <c r="P48" s="835" t="s">
        <v>2782</v>
      </c>
      <c r="Q48" s="6"/>
      <c r="R48" s="6"/>
      <c r="S48" s="6"/>
      <c r="T48" s="6"/>
      <c r="U48" s="831"/>
      <c r="V48" s="836"/>
    </row>
    <row r="49" spans="2:22" s="829" customFormat="1" ht="44.45" customHeight="1">
      <c r="B49" s="830" t="s">
        <v>2779</v>
      </c>
      <c r="C49" s="830">
        <v>1.37</v>
      </c>
      <c r="D49" s="830" t="s">
        <v>2828</v>
      </c>
      <c r="E49" s="7" t="s">
        <v>690</v>
      </c>
      <c r="F49" s="831" t="s">
        <v>2882</v>
      </c>
      <c r="G49" s="7" t="s">
        <v>1969</v>
      </c>
      <c r="H49" s="832" t="s">
        <v>211</v>
      </c>
      <c r="I49" s="7" t="s">
        <v>211</v>
      </c>
      <c r="J49" s="7">
        <v>12</v>
      </c>
      <c r="K49" s="6">
        <v>13.112724</v>
      </c>
      <c r="L49" s="14">
        <v>37.480720583656847</v>
      </c>
      <c r="M49" s="833">
        <v>2.1233933819714039</v>
      </c>
      <c r="N49" s="833">
        <v>1.8583474023899875</v>
      </c>
      <c r="O49" s="834"/>
      <c r="P49" s="835" t="s">
        <v>2782</v>
      </c>
      <c r="Q49" s="6"/>
      <c r="R49" s="6"/>
      <c r="S49" s="6"/>
      <c r="T49" s="6"/>
      <c r="U49" s="831"/>
      <c r="V49" s="836"/>
    </row>
    <row r="50" spans="2:22" s="829" customFormat="1" ht="48" customHeight="1">
      <c r="B50" s="830" t="s">
        <v>2809</v>
      </c>
      <c r="C50" s="830"/>
      <c r="D50" s="830" t="s">
        <v>2783</v>
      </c>
      <c r="E50" s="7" t="s">
        <v>690</v>
      </c>
      <c r="F50" s="831"/>
      <c r="G50" s="7" t="s">
        <v>732</v>
      </c>
      <c r="H50" s="832"/>
      <c r="I50" s="7" t="s">
        <v>211</v>
      </c>
      <c r="J50" s="7" t="s">
        <v>2783</v>
      </c>
      <c r="K50" s="7" t="s">
        <v>2783</v>
      </c>
      <c r="L50" s="7">
        <v>39.203558238370142</v>
      </c>
      <c r="M50" s="833" t="s">
        <v>2810</v>
      </c>
      <c r="N50" s="833" t="s">
        <v>2810</v>
      </c>
      <c r="O50" s="834"/>
      <c r="P50" s="835" t="s">
        <v>2782</v>
      </c>
      <c r="Q50" s="6"/>
      <c r="R50" s="6"/>
      <c r="S50" s="6"/>
      <c r="T50" s="6"/>
      <c r="U50" s="831"/>
      <c r="V50" s="836"/>
    </row>
    <row r="51" spans="2:22" s="829" customFormat="1" ht="48" customHeight="1">
      <c r="B51" s="830" t="s">
        <v>2809</v>
      </c>
      <c r="C51" s="830"/>
      <c r="D51" s="830" t="s">
        <v>2783</v>
      </c>
      <c r="E51" s="7" t="s">
        <v>690</v>
      </c>
      <c r="F51" s="831"/>
      <c r="G51" s="7" t="s">
        <v>1970</v>
      </c>
      <c r="H51" s="832"/>
      <c r="I51" s="7" t="s">
        <v>211</v>
      </c>
      <c r="J51" s="7" t="s">
        <v>2783</v>
      </c>
      <c r="K51" s="7" t="s">
        <v>2783</v>
      </c>
      <c r="L51" s="7">
        <v>44.910219938977718</v>
      </c>
      <c r="M51" s="833" t="s">
        <v>2810</v>
      </c>
      <c r="N51" s="833" t="s">
        <v>2810</v>
      </c>
      <c r="O51" s="834"/>
      <c r="P51" s="835" t="s">
        <v>2782</v>
      </c>
      <c r="Q51" s="6"/>
      <c r="R51" s="6"/>
      <c r="S51" s="6"/>
      <c r="T51" s="6"/>
      <c r="U51" s="831"/>
      <c r="V51" s="836"/>
    </row>
    <row r="52" spans="2:22" s="829" customFormat="1" ht="51">
      <c r="B52" s="830" t="s">
        <v>2779</v>
      </c>
      <c r="C52" s="830">
        <v>1.38</v>
      </c>
      <c r="D52" s="830" t="s">
        <v>2828</v>
      </c>
      <c r="E52" s="7" t="s">
        <v>690</v>
      </c>
      <c r="F52" s="831" t="s">
        <v>2883</v>
      </c>
      <c r="G52" s="7" t="s">
        <v>1971</v>
      </c>
      <c r="H52" s="832" t="s">
        <v>211</v>
      </c>
      <c r="I52" s="7" t="s">
        <v>211</v>
      </c>
      <c r="J52" s="7">
        <v>15</v>
      </c>
      <c r="K52" s="6">
        <v>16.390905</v>
      </c>
      <c r="L52" s="7">
        <v>9.9107789654937921</v>
      </c>
      <c r="M52" s="833">
        <v>-0.33928140230041387</v>
      </c>
      <c r="N52" s="833">
        <v>-0.39534888613570807</v>
      </c>
      <c r="O52" s="834"/>
      <c r="P52" s="835" t="s">
        <v>2782</v>
      </c>
      <c r="Q52" s="6"/>
      <c r="R52" s="6"/>
      <c r="S52" s="6"/>
      <c r="T52" s="6"/>
      <c r="U52" s="831" t="s">
        <v>2884</v>
      </c>
      <c r="V52" s="836"/>
    </row>
    <row r="53" spans="2:22" s="829" customFormat="1" ht="63.75">
      <c r="B53" s="830" t="s">
        <v>2809</v>
      </c>
      <c r="C53" s="830"/>
      <c r="D53" s="830" t="s">
        <v>2783</v>
      </c>
      <c r="E53" s="7" t="s">
        <v>690</v>
      </c>
      <c r="F53" s="831" t="s">
        <v>2783</v>
      </c>
      <c r="G53" s="7" t="s">
        <v>733</v>
      </c>
      <c r="H53" s="832"/>
      <c r="I53" s="7" t="s">
        <v>211</v>
      </c>
      <c r="J53" s="7" t="s">
        <v>2783</v>
      </c>
      <c r="K53" s="6" t="s">
        <v>2783</v>
      </c>
      <c r="L53" s="7">
        <v>11.633616620207082</v>
      </c>
      <c r="M53" s="833" t="s">
        <v>2810</v>
      </c>
      <c r="N53" s="833" t="s">
        <v>2810</v>
      </c>
      <c r="O53" s="834"/>
      <c r="P53" s="835" t="s">
        <v>2782</v>
      </c>
      <c r="Q53" s="6"/>
      <c r="R53" s="6"/>
      <c r="S53" s="6"/>
      <c r="T53" s="6"/>
      <c r="U53" s="831" t="s">
        <v>2885</v>
      </c>
      <c r="V53" s="836"/>
    </row>
    <row r="54" spans="2:22" s="829" customFormat="1" ht="38.25">
      <c r="B54" s="830" t="s">
        <v>2809</v>
      </c>
      <c r="C54" s="830"/>
      <c r="D54" s="830" t="s">
        <v>2783</v>
      </c>
      <c r="E54" s="7" t="s">
        <v>690</v>
      </c>
      <c r="F54" s="831" t="s">
        <v>2783</v>
      </c>
      <c r="G54" s="7" t="s">
        <v>1972</v>
      </c>
      <c r="H54" s="832"/>
      <c r="I54" s="7" t="s">
        <v>211</v>
      </c>
      <c r="J54" s="7" t="s">
        <v>2783</v>
      </c>
      <c r="K54" s="6" t="s">
        <v>2783</v>
      </c>
      <c r="L54" s="7">
        <v>17.340278320814665</v>
      </c>
      <c r="M54" s="833" t="s">
        <v>2810</v>
      </c>
      <c r="N54" s="833" t="s">
        <v>2810</v>
      </c>
      <c r="O54" s="834"/>
      <c r="P54" s="835" t="s">
        <v>2782</v>
      </c>
      <c r="Q54" s="6"/>
      <c r="R54" s="6"/>
      <c r="S54" s="6"/>
      <c r="T54" s="6"/>
      <c r="U54" s="831"/>
      <c r="V54" s="836"/>
    </row>
    <row r="55" spans="2:22" s="829" customFormat="1" ht="63.75">
      <c r="B55" s="830" t="s">
        <v>2779</v>
      </c>
      <c r="C55" s="830">
        <v>1.39</v>
      </c>
      <c r="D55" s="830" t="s">
        <v>2828</v>
      </c>
      <c r="E55" s="7" t="s">
        <v>89</v>
      </c>
      <c r="F55" s="831" t="s">
        <v>2886</v>
      </c>
      <c r="G55" s="7" t="s">
        <v>1463</v>
      </c>
      <c r="H55" s="832" t="s">
        <v>2781</v>
      </c>
      <c r="I55" s="6" t="s">
        <v>2887</v>
      </c>
      <c r="J55" s="6">
        <v>20000</v>
      </c>
      <c r="K55" s="6">
        <v>21854.54</v>
      </c>
      <c r="L55" s="6">
        <v>25624.456470396457</v>
      </c>
      <c r="M55" s="833">
        <v>0.28122282351982286</v>
      </c>
      <c r="N55" s="833">
        <v>0.17250038071707097</v>
      </c>
      <c r="O55" s="834"/>
      <c r="P55" s="835" t="s">
        <v>2782</v>
      </c>
      <c r="Q55" s="6"/>
      <c r="R55" s="6"/>
      <c r="S55" s="6"/>
      <c r="T55" s="6"/>
      <c r="U55" s="831" t="s">
        <v>2888</v>
      </c>
      <c r="V55" s="836"/>
    </row>
    <row r="56" spans="2:22" s="829" customFormat="1" ht="76.5">
      <c r="B56" s="830" t="s">
        <v>2779</v>
      </c>
      <c r="C56" s="830">
        <v>1.4</v>
      </c>
      <c r="D56" s="830" t="s">
        <v>419</v>
      </c>
      <c r="E56" s="6" t="s">
        <v>414</v>
      </c>
      <c r="F56" s="831" t="s">
        <v>2889</v>
      </c>
      <c r="G56" s="7" t="s">
        <v>437</v>
      </c>
      <c r="H56" s="832" t="s">
        <v>2807</v>
      </c>
      <c r="I56" s="832" t="s">
        <v>2807</v>
      </c>
      <c r="J56" s="7">
        <v>10</v>
      </c>
      <c r="K56" s="6">
        <v>10.92727</v>
      </c>
      <c r="L56" s="7">
        <v>1.2662685708777464</v>
      </c>
      <c r="M56" s="833">
        <v>-0.87337314291222534</v>
      </c>
      <c r="N56" s="833">
        <v>-0.88411848788601843</v>
      </c>
      <c r="O56" s="843">
        <v>0.82440000000000002</v>
      </c>
      <c r="P56" s="835" t="s">
        <v>2890</v>
      </c>
      <c r="Q56" s="7">
        <v>9.2964000000000002</v>
      </c>
      <c r="R56" s="7">
        <v>10</v>
      </c>
      <c r="S56" s="7"/>
      <c r="T56" s="6" t="s">
        <v>2891</v>
      </c>
      <c r="U56" s="831" t="s">
        <v>2892</v>
      </c>
      <c r="V56" s="836"/>
    </row>
    <row r="57" spans="2:22" s="829" customFormat="1" ht="76.5">
      <c r="B57" s="830" t="s">
        <v>2779</v>
      </c>
      <c r="C57" s="830">
        <v>1.41</v>
      </c>
      <c r="D57" s="830" t="s">
        <v>419</v>
      </c>
      <c r="E57" s="6" t="s">
        <v>414</v>
      </c>
      <c r="F57" s="831" t="s">
        <v>2893</v>
      </c>
      <c r="G57" s="7" t="s">
        <v>2196</v>
      </c>
      <c r="H57" s="832" t="s">
        <v>2807</v>
      </c>
      <c r="I57" s="832" t="s">
        <v>2807</v>
      </c>
      <c r="J57" s="7">
        <v>20</v>
      </c>
      <c r="K57" s="6">
        <v>21.85454</v>
      </c>
      <c r="L57" s="7">
        <v>2.0712000068704257</v>
      </c>
      <c r="M57" s="833">
        <v>-0.89643999965647869</v>
      </c>
      <c r="N57" s="833">
        <v>-0.90522792944301611</v>
      </c>
      <c r="O57" s="834"/>
      <c r="P57" s="835" t="s">
        <v>2890</v>
      </c>
      <c r="Q57" s="6"/>
      <c r="R57" s="6"/>
      <c r="S57" s="6"/>
      <c r="T57" s="6"/>
      <c r="U57" s="831" t="s">
        <v>2892</v>
      </c>
      <c r="V57" s="836"/>
    </row>
    <row r="58" spans="2:22" s="829" customFormat="1" ht="41.1" customHeight="1">
      <c r="B58" s="830" t="s">
        <v>2809</v>
      </c>
      <c r="C58" s="830"/>
      <c r="D58" s="830"/>
      <c r="E58" s="6" t="s">
        <v>414</v>
      </c>
      <c r="F58" s="831" t="s">
        <v>2783</v>
      </c>
      <c r="G58" s="7" t="s">
        <v>450</v>
      </c>
      <c r="H58" s="832"/>
      <c r="I58" s="832" t="s">
        <v>411</v>
      </c>
      <c r="J58" s="7" t="s">
        <v>2783</v>
      </c>
      <c r="K58" s="6" t="s">
        <v>2783</v>
      </c>
      <c r="L58" s="7">
        <v>0.83711506650054668</v>
      </c>
      <c r="M58" s="833" t="s">
        <v>2810</v>
      </c>
      <c r="N58" s="833" t="s">
        <v>2810</v>
      </c>
      <c r="O58" s="834"/>
      <c r="P58" s="835" t="s">
        <v>2782</v>
      </c>
      <c r="Q58" s="6"/>
      <c r="R58" s="6"/>
      <c r="S58" s="6"/>
      <c r="T58" s="6"/>
      <c r="U58" s="831"/>
      <c r="V58" s="836"/>
    </row>
    <row r="59" spans="2:22" s="829" customFormat="1" ht="76.5">
      <c r="B59" s="830" t="s">
        <v>2779</v>
      </c>
      <c r="C59" s="830">
        <v>1.42</v>
      </c>
      <c r="D59" s="830" t="s">
        <v>419</v>
      </c>
      <c r="E59" s="6" t="s">
        <v>414</v>
      </c>
      <c r="F59" s="831" t="s">
        <v>2894</v>
      </c>
      <c r="G59" s="7" t="s">
        <v>453</v>
      </c>
      <c r="H59" s="832" t="s">
        <v>2807</v>
      </c>
      <c r="I59" s="832" t="s">
        <v>215</v>
      </c>
      <c r="J59" s="7">
        <v>36</v>
      </c>
      <c r="K59" s="6">
        <v>39.338172</v>
      </c>
      <c r="L59" s="7">
        <v>30.641988454717175</v>
      </c>
      <c r="M59" s="833">
        <v>-0.14883365403563401</v>
      </c>
      <c r="N59" s="833">
        <v>-0.22106221776860463</v>
      </c>
      <c r="O59" s="834"/>
      <c r="P59" s="835" t="s">
        <v>2895</v>
      </c>
      <c r="Q59" s="7">
        <v>65.2971</v>
      </c>
      <c r="R59" s="6">
        <v>36</v>
      </c>
      <c r="S59" s="6"/>
      <c r="T59" s="6" t="s">
        <v>2896</v>
      </c>
      <c r="U59" s="831" t="s">
        <v>2897</v>
      </c>
      <c r="V59" s="836"/>
    </row>
    <row r="60" spans="2:22" s="829" customFormat="1" ht="76.5">
      <c r="B60" s="830" t="s">
        <v>2779</v>
      </c>
      <c r="C60" s="830">
        <v>1.43</v>
      </c>
      <c r="D60" s="830" t="s">
        <v>419</v>
      </c>
      <c r="E60" s="6" t="s">
        <v>414</v>
      </c>
      <c r="F60" s="831" t="s">
        <v>2898</v>
      </c>
      <c r="G60" s="7" t="s">
        <v>454</v>
      </c>
      <c r="H60" s="832" t="s">
        <v>2807</v>
      </c>
      <c r="I60" s="832" t="s">
        <v>2807</v>
      </c>
      <c r="J60" s="7">
        <v>75</v>
      </c>
      <c r="K60" s="6">
        <v>81.954525000000004</v>
      </c>
      <c r="L60" s="7">
        <v>61.283976909434351</v>
      </c>
      <c r="M60" s="833">
        <v>-0.18288030787420864</v>
      </c>
      <c r="N60" s="833">
        <v>-0.25221972905786044</v>
      </c>
      <c r="O60" s="834"/>
      <c r="P60" s="835" t="s">
        <v>2895</v>
      </c>
      <c r="Q60" s="7">
        <v>105.0852</v>
      </c>
      <c r="R60" s="6">
        <v>117</v>
      </c>
      <c r="S60" s="6"/>
      <c r="T60" s="6" t="s">
        <v>2899</v>
      </c>
      <c r="U60" s="831" t="s">
        <v>2900</v>
      </c>
      <c r="V60" s="836"/>
    </row>
    <row r="61" spans="2:22" s="829" customFormat="1" ht="114.75">
      <c r="B61" s="830" t="s">
        <v>2779</v>
      </c>
      <c r="C61" s="830">
        <v>1.44</v>
      </c>
      <c r="D61" s="830" t="s">
        <v>2828</v>
      </c>
      <c r="E61" s="7" t="s">
        <v>690</v>
      </c>
      <c r="F61" s="831" t="s">
        <v>2901</v>
      </c>
      <c r="G61" s="7" t="s">
        <v>1313</v>
      </c>
      <c r="H61" s="832" t="s">
        <v>2459</v>
      </c>
      <c r="I61" s="832" t="s">
        <v>2459</v>
      </c>
      <c r="J61" s="7">
        <v>10</v>
      </c>
      <c r="K61" s="6">
        <v>10.92727</v>
      </c>
      <c r="L61" s="7">
        <v>13.629584638842477</v>
      </c>
      <c r="M61" s="833">
        <v>0.36295846388424768</v>
      </c>
      <c r="N61" s="833">
        <v>0.24730007026846385</v>
      </c>
      <c r="O61" s="834"/>
      <c r="P61" s="844" t="s">
        <v>2902</v>
      </c>
      <c r="Q61" s="6">
        <v>30.322800000000001</v>
      </c>
      <c r="R61" s="6">
        <v>13</v>
      </c>
      <c r="S61" s="6"/>
      <c r="T61" s="6" t="s">
        <v>2903</v>
      </c>
      <c r="U61" s="831" t="s">
        <v>2904</v>
      </c>
      <c r="V61" s="836"/>
    </row>
    <row r="62" spans="2:22" s="829" customFormat="1" ht="114.75">
      <c r="B62" s="830" t="s">
        <v>2779</v>
      </c>
      <c r="C62" s="830">
        <v>1.45</v>
      </c>
      <c r="D62" s="830" t="s">
        <v>2828</v>
      </c>
      <c r="E62" s="7" t="s">
        <v>690</v>
      </c>
      <c r="F62" s="831" t="s">
        <v>2905</v>
      </c>
      <c r="G62" s="7" t="s">
        <v>510</v>
      </c>
      <c r="H62" s="832" t="s">
        <v>2459</v>
      </c>
      <c r="I62" s="832" t="s">
        <v>2459</v>
      </c>
      <c r="J62" s="7">
        <v>13</v>
      </c>
      <c r="K62" s="6">
        <v>14.205451</v>
      </c>
      <c r="L62" s="7">
        <v>19.448751305509145</v>
      </c>
      <c r="M62" s="833">
        <v>0.49605779273147266</v>
      </c>
      <c r="N62" s="833">
        <v>0.36910481092850517</v>
      </c>
      <c r="O62" s="834"/>
      <c r="P62" s="844" t="s">
        <v>2902</v>
      </c>
      <c r="Q62" s="6">
        <v>40.636200000000002</v>
      </c>
      <c r="R62" s="6">
        <v>15</v>
      </c>
      <c r="S62" s="6"/>
      <c r="T62" s="6" t="s">
        <v>2906</v>
      </c>
      <c r="U62" s="831" t="s">
        <v>2904</v>
      </c>
      <c r="V62" s="836"/>
    </row>
    <row r="63" spans="2:22" s="829" customFormat="1" ht="114.75">
      <c r="B63" s="830" t="s">
        <v>2779</v>
      </c>
      <c r="C63" s="830">
        <v>1.46</v>
      </c>
      <c r="D63" s="830" t="s">
        <v>2828</v>
      </c>
      <c r="E63" s="7" t="s">
        <v>690</v>
      </c>
      <c r="F63" s="831" t="s">
        <v>2907</v>
      </c>
      <c r="G63" s="7" t="s">
        <v>511</v>
      </c>
      <c r="H63" s="832" t="s">
        <v>2459</v>
      </c>
      <c r="I63" s="832" t="s">
        <v>2459</v>
      </c>
      <c r="J63" s="7">
        <v>15</v>
      </c>
      <c r="K63" s="6">
        <v>16.390905</v>
      </c>
      <c r="L63" s="7">
        <v>25.267917972175812</v>
      </c>
      <c r="M63" s="833">
        <v>0.68452786481172079</v>
      </c>
      <c r="N63" s="833">
        <v>0.54158162543043309</v>
      </c>
      <c r="O63" s="834"/>
      <c r="P63" s="844" t="s">
        <v>2902</v>
      </c>
      <c r="Q63" s="6">
        <v>50.949599999999997</v>
      </c>
      <c r="R63" s="6">
        <v>18</v>
      </c>
      <c r="S63" s="6"/>
      <c r="T63" s="6" t="s">
        <v>2908</v>
      </c>
      <c r="U63" s="831" t="s">
        <v>2904</v>
      </c>
      <c r="V63" s="836"/>
    </row>
    <row r="64" spans="2:22" s="829" customFormat="1" ht="38.25">
      <c r="B64" s="830" t="s">
        <v>2779</v>
      </c>
      <c r="C64" s="830">
        <v>1.47</v>
      </c>
      <c r="D64" s="830" t="s">
        <v>2828</v>
      </c>
      <c r="E64" s="7" t="s">
        <v>690</v>
      </c>
      <c r="F64" s="831" t="s">
        <v>2909</v>
      </c>
      <c r="G64" s="7"/>
      <c r="H64" s="832" t="s">
        <v>211</v>
      </c>
      <c r="I64" s="832" t="s">
        <v>211</v>
      </c>
      <c r="J64" s="7">
        <v>20</v>
      </c>
      <c r="K64" s="6">
        <v>21.85454</v>
      </c>
      <c r="L64" s="7">
        <v>22</v>
      </c>
      <c r="M64" s="833">
        <v>0.1</v>
      </c>
      <c r="N64" s="833">
        <v>6.6558252884755262E-3</v>
      </c>
      <c r="O64" s="834"/>
      <c r="P64" s="844" t="s">
        <v>2362</v>
      </c>
      <c r="Q64" s="6"/>
      <c r="R64" s="6"/>
      <c r="S64" s="6"/>
      <c r="T64" s="6"/>
      <c r="U64" s="831" t="s">
        <v>2910</v>
      </c>
      <c r="V64" s="836"/>
    </row>
    <row r="65" spans="2:22" s="829" customFormat="1" ht="76.5">
      <c r="B65" s="830" t="s">
        <v>2779</v>
      </c>
      <c r="C65" s="830">
        <v>1.48</v>
      </c>
      <c r="D65" s="830" t="s">
        <v>2828</v>
      </c>
      <c r="E65" s="7" t="s">
        <v>690</v>
      </c>
      <c r="F65" s="831" t="s">
        <v>2911</v>
      </c>
      <c r="G65" s="7"/>
      <c r="H65" s="832" t="s">
        <v>2912</v>
      </c>
      <c r="I65" s="7" t="s">
        <v>2097</v>
      </c>
      <c r="J65" s="7">
        <v>1000</v>
      </c>
      <c r="K65" s="6">
        <v>1092.7270000000001</v>
      </c>
      <c r="L65" s="7">
        <v>1513.18</v>
      </c>
      <c r="M65" s="833">
        <v>0.51318000000000008</v>
      </c>
      <c r="N65" s="833">
        <v>0.38477405610001397</v>
      </c>
      <c r="O65" s="834"/>
      <c r="P65" s="835" t="s">
        <v>2782</v>
      </c>
      <c r="Q65" s="6">
        <v>62053.2</v>
      </c>
      <c r="R65" s="6">
        <v>1000</v>
      </c>
      <c r="S65" s="6"/>
      <c r="T65" s="6" t="s">
        <v>2913</v>
      </c>
      <c r="U65" s="831" t="s">
        <v>2914</v>
      </c>
      <c r="V65" s="845"/>
    </row>
    <row r="66" spans="2:22" s="829" customFormat="1" ht="63.75">
      <c r="B66" s="830" t="s">
        <v>2779</v>
      </c>
      <c r="C66" s="830">
        <v>1.49</v>
      </c>
      <c r="D66" s="830" t="s">
        <v>2828</v>
      </c>
      <c r="E66" s="7" t="s">
        <v>690</v>
      </c>
      <c r="F66" s="831" t="s">
        <v>2915</v>
      </c>
      <c r="G66" s="7"/>
      <c r="H66" s="832" t="s">
        <v>2912</v>
      </c>
      <c r="I66" s="7" t="s">
        <v>2097</v>
      </c>
      <c r="J66" s="7">
        <v>500</v>
      </c>
      <c r="K66" s="6">
        <v>546.36350000000004</v>
      </c>
      <c r="L66" s="7">
        <v>665.01397986071765</v>
      </c>
      <c r="M66" s="833">
        <v>0.33002795972143528</v>
      </c>
      <c r="N66" s="833">
        <v>0.21716399404557149</v>
      </c>
      <c r="O66" s="834"/>
      <c r="P66" s="835" t="s">
        <v>2782</v>
      </c>
      <c r="Q66" s="6">
        <v>62053.2</v>
      </c>
      <c r="R66" s="6">
        <v>500</v>
      </c>
      <c r="S66" s="6"/>
      <c r="T66" s="6" t="s">
        <v>2916</v>
      </c>
      <c r="U66" s="831" t="s">
        <v>2917</v>
      </c>
      <c r="V66" s="845"/>
    </row>
    <row r="67" spans="2:22" s="829" customFormat="1" ht="102.6" customHeight="1">
      <c r="B67" s="830" t="s">
        <v>2779</v>
      </c>
      <c r="C67" s="830">
        <v>1.5</v>
      </c>
      <c r="D67" s="830" t="s">
        <v>419</v>
      </c>
      <c r="E67" s="6" t="s">
        <v>414</v>
      </c>
      <c r="F67" s="831" t="s">
        <v>2918</v>
      </c>
      <c r="G67" s="7"/>
      <c r="H67" s="832" t="s">
        <v>2912</v>
      </c>
      <c r="I67" s="7" t="s">
        <v>1309</v>
      </c>
      <c r="J67" s="7">
        <v>5000</v>
      </c>
      <c r="K67" s="6">
        <v>5463.6350000000002</v>
      </c>
      <c r="L67" s="14">
        <v>17818.916688475747</v>
      </c>
      <c r="M67" s="833">
        <v>2.5637833376951495</v>
      </c>
      <c r="N67" s="833">
        <v>2.2613665972334802</v>
      </c>
      <c r="O67" s="834">
        <v>30188</v>
      </c>
      <c r="P67" s="835" t="s">
        <v>2919</v>
      </c>
      <c r="Q67" s="6">
        <v>70045.8</v>
      </c>
      <c r="R67" s="6">
        <v>10000</v>
      </c>
      <c r="S67" s="6"/>
      <c r="T67" s="846" t="s">
        <v>2920</v>
      </c>
      <c r="U67" s="831" t="s">
        <v>2921</v>
      </c>
      <c r="V67" s="845"/>
    </row>
    <row r="68" spans="2:22" s="829" customFormat="1" ht="38.25">
      <c r="B68" s="830" t="s">
        <v>2779</v>
      </c>
      <c r="C68" s="830">
        <v>1.51</v>
      </c>
      <c r="D68" s="830" t="s">
        <v>419</v>
      </c>
      <c r="E68" s="6" t="s">
        <v>414</v>
      </c>
      <c r="F68" s="831" t="s">
        <v>2922</v>
      </c>
      <c r="G68" s="7"/>
      <c r="H68" s="832" t="s">
        <v>2781</v>
      </c>
      <c r="I68" s="7" t="s">
        <v>1770</v>
      </c>
      <c r="J68" s="7">
        <v>50000</v>
      </c>
      <c r="K68" s="6">
        <v>54636.35</v>
      </c>
      <c r="L68" s="7">
        <v>51703.623526343334</v>
      </c>
      <c r="M68" s="833">
        <v>3.4072470526866676E-2</v>
      </c>
      <c r="N68" s="833">
        <v>-5.367720343062201E-2</v>
      </c>
      <c r="O68" s="834"/>
      <c r="P68" s="844"/>
      <c r="Q68" s="6"/>
      <c r="R68" s="6"/>
      <c r="S68" s="6"/>
      <c r="T68" s="6"/>
      <c r="U68" s="831" t="s">
        <v>2923</v>
      </c>
      <c r="V68" s="845"/>
    </row>
    <row r="69" spans="2:22" s="829" customFormat="1" ht="63.75">
      <c r="B69" s="830" t="s">
        <v>2779</v>
      </c>
      <c r="C69" s="830">
        <v>1.52</v>
      </c>
      <c r="D69" s="7" t="s">
        <v>2924</v>
      </c>
      <c r="E69" s="7" t="s">
        <v>2924</v>
      </c>
      <c r="F69" s="831" t="s">
        <v>2925</v>
      </c>
      <c r="G69" s="7"/>
      <c r="H69" s="832" t="s">
        <v>2459</v>
      </c>
      <c r="I69" s="7" t="s">
        <v>2783</v>
      </c>
      <c r="J69" s="7">
        <v>7</v>
      </c>
      <c r="K69" s="6">
        <v>7.649089</v>
      </c>
      <c r="L69" s="7">
        <v>2.0142512242255002</v>
      </c>
      <c r="M69" s="833">
        <v>-0.71224982511064283</v>
      </c>
      <c r="N69" s="833">
        <v>-0.73666782747259185</v>
      </c>
      <c r="O69" s="834"/>
      <c r="P69" s="844" t="s">
        <v>2926</v>
      </c>
      <c r="Q69" s="6"/>
      <c r="R69" s="6"/>
      <c r="S69" s="6"/>
      <c r="T69" s="6"/>
      <c r="U69" s="831" t="s">
        <v>2927</v>
      </c>
      <c r="V69" s="845"/>
    </row>
    <row r="70" spans="2:22" s="829" customFormat="1" ht="63.75">
      <c r="B70" s="830" t="s">
        <v>2779</v>
      </c>
      <c r="C70" s="830">
        <v>1.53</v>
      </c>
      <c r="D70" s="7" t="s">
        <v>2924</v>
      </c>
      <c r="E70" s="7" t="s">
        <v>2924</v>
      </c>
      <c r="F70" s="831" t="s">
        <v>2928</v>
      </c>
      <c r="G70" s="7"/>
      <c r="H70" s="832" t="s">
        <v>2459</v>
      </c>
      <c r="I70" s="7" t="s">
        <v>2783</v>
      </c>
      <c r="J70" s="7">
        <v>9</v>
      </c>
      <c r="K70" s="6">
        <v>9.834543</v>
      </c>
      <c r="L70" s="7">
        <v>2.7537188342829388</v>
      </c>
      <c r="M70" s="833">
        <v>-0.69403124063522903</v>
      </c>
      <c r="N70" s="833">
        <v>-0.71999524184469588</v>
      </c>
      <c r="O70" s="834"/>
      <c r="P70" s="844" t="s">
        <v>2926</v>
      </c>
      <c r="Q70" s="6"/>
      <c r="R70" s="6"/>
      <c r="S70" s="6"/>
      <c r="T70" s="6"/>
      <c r="U70" s="831" t="s">
        <v>2927</v>
      </c>
      <c r="V70" s="845"/>
    </row>
    <row r="71" spans="2:22" s="829" customFormat="1" ht="63.75">
      <c r="B71" s="830" t="s">
        <v>2779</v>
      </c>
      <c r="C71" s="830">
        <v>1.54</v>
      </c>
      <c r="D71" s="7" t="s">
        <v>2924</v>
      </c>
      <c r="E71" s="7" t="s">
        <v>2924</v>
      </c>
      <c r="F71" s="831" t="s">
        <v>2929</v>
      </c>
      <c r="G71" s="7"/>
      <c r="H71" s="832" t="s">
        <v>2459</v>
      </c>
      <c r="I71" s="7" t="s">
        <v>2783</v>
      </c>
      <c r="J71" s="7">
        <v>12.5</v>
      </c>
      <c r="K71" s="6">
        <v>13.6590875</v>
      </c>
      <c r="L71" s="7">
        <v>4.4632325745163799</v>
      </c>
      <c r="M71" s="833">
        <v>-0.64294139403868966</v>
      </c>
      <c r="N71" s="833">
        <v>-0.67324079485424038</v>
      </c>
      <c r="O71" s="834"/>
      <c r="P71" s="844" t="s">
        <v>2926</v>
      </c>
      <c r="Q71" s="6"/>
      <c r="R71" s="6"/>
      <c r="S71" s="6"/>
      <c r="T71" s="6"/>
      <c r="U71" s="831" t="s">
        <v>2927</v>
      </c>
      <c r="V71" s="845"/>
    </row>
    <row r="72" spans="2:22" s="829" customFormat="1" ht="63.75">
      <c r="B72" s="830" t="s">
        <v>2779</v>
      </c>
      <c r="C72" s="830">
        <v>1.55</v>
      </c>
      <c r="D72" s="7" t="s">
        <v>2924</v>
      </c>
      <c r="E72" s="7" t="s">
        <v>2924</v>
      </c>
      <c r="F72" s="831" t="s">
        <v>2930</v>
      </c>
      <c r="G72" s="7"/>
      <c r="H72" s="832" t="s">
        <v>2459</v>
      </c>
      <c r="I72" s="7" t="s">
        <v>2783</v>
      </c>
      <c r="J72" s="7">
        <v>32</v>
      </c>
      <c r="K72" s="6">
        <v>34.967264</v>
      </c>
      <c r="L72" s="7">
        <v>5.0803018575851393</v>
      </c>
      <c r="M72" s="833">
        <v>-0.84124056695046434</v>
      </c>
      <c r="N72" s="833">
        <v>-0.85471262900108114</v>
      </c>
      <c r="O72" s="834"/>
      <c r="P72" s="844" t="s">
        <v>2926</v>
      </c>
      <c r="Q72" s="6"/>
      <c r="R72" s="6"/>
      <c r="S72" s="6"/>
      <c r="T72" s="6"/>
      <c r="U72" s="831" t="s">
        <v>2927</v>
      </c>
      <c r="V72" s="845"/>
    </row>
    <row r="73" spans="2:22" s="829" customFormat="1" ht="63.75">
      <c r="B73" s="830" t="s">
        <v>2779</v>
      </c>
      <c r="C73" s="830">
        <v>1.56</v>
      </c>
      <c r="D73" s="7" t="s">
        <v>2924</v>
      </c>
      <c r="E73" s="7" t="s">
        <v>2924</v>
      </c>
      <c r="F73" s="831" t="s">
        <v>2931</v>
      </c>
      <c r="G73" s="7"/>
      <c r="H73" s="832" t="s">
        <v>2459</v>
      </c>
      <c r="I73" s="7" t="s">
        <v>2783</v>
      </c>
      <c r="J73" s="7">
        <v>36</v>
      </c>
      <c r="K73" s="6">
        <v>39.338172</v>
      </c>
      <c r="L73" s="7">
        <v>7.2134232026143792</v>
      </c>
      <c r="M73" s="833">
        <v>-0.79962713326071166</v>
      </c>
      <c r="N73" s="833">
        <v>-0.81663044224285819</v>
      </c>
      <c r="O73" s="834"/>
      <c r="P73" s="844" t="s">
        <v>2926</v>
      </c>
      <c r="Q73" s="6"/>
      <c r="R73" s="6"/>
      <c r="S73" s="6"/>
      <c r="T73" s="6"/>
      <c r="U73" s="831" t="s">
        <v>2927</v>
      </c>
      <c r="V73" s="845"/>
    </row>
    <row r="74" spans="2:22" s="829" customFormat="1" ht="63.75">
      <c r="B74" s="830" t="s">
        <v>2779</v>
      </c>
      <c r="C74" s="830">
        <v>1.57</v>
      </c>
      <c r="D74" s="7" t="s">
        <v>2924</v>
      </c>
      <c r="E74" s="7" t="s">
        <v>2924</v>
      </c>
      <c r="F74" s="831" t="s">
        <v>2932</v>
      </c>
      <c r="G74" s="7"/>
      <c r="H74" s="832" t="s">
        <v>2781</v>
      </c>
      <c r="I74" s="7" t="s">
        <v>2783</v>
      </c>
      <c r="J74" s="7" t="s">
        <v>2783</v>
      </c>
      <c r="K74" s="6" t="s">
        <v>2783</v>
      </c>
      <c r="L74" s="7">
        <v>8.8185903450073972</v>
      </c>
      <c r="M74" s="833" t="s">
        <v>2810</v>
      </c>
      <c r="N74" s="833" t="s">
        <v>2810</v>
      </c>
      <c r="O74" s="834"/>
      <c r="P74" s="835"/>
      <c r="Q74" s="6"/>
      <c r="R74" s="6"/>
      <c r="S74" s="6"/>
      <c r="T74" s="6"/>
      <c r="U74" s="831" t="s">
        <v>2927</v>
      </c>
      <c r="V74" s="845"/>
    </row>
    <row r="75" spans="2:22" s="829" customFormat="1" ht="76.5">
      <c r="B75" s="830" t="s">
        <v>2779</v>
      </c>
      <c r="C75" s="830">
        <v>1.58</v>
      </c>
      <c r="D75" s="830" t="s">
        <v>2933</v>
      </c>
      <c r="E75" s="7" t="s">
        <v>2933</v>
      </c>
      <c r="F75" s="831" t="s">
        <v>2934</v>
      </c>
      <c r="G75" s="7"/>
      <c r="H75" s="832" t="s">
        <v>2459</v>
      </c>
      <c r="I75" s="7" t="s">
        <v>2459</v>
      </c>
      <c r="J75" s="7">
        <v>193</v>
      </c>
      <c r="K75" s="6">
        <v>210.896311</v>
      </c>
      <c r="L75" s="7">
        <v>80</v>
      </c>
      <c r="M75" s="833">
        <v>-0.58549222797927458</v>
      </c>
      <c r="N75" s="833">
        <v>-0.62066666969817219</v>
      </c>
      <c r="O75" s="834"/>
      <c r="P75" s="844" t="s">
        <v>2935</v>
      </c>
      <c r="Q75" s="6"/>
      <c r="R75" s="6"/>
      <c r="S75" s="6"/>
      <c r="T75" s="6"/>
      <c r="U75" s="831" t="s">
        <v>2936</v>
      </c>
      <c r="V75" s="845"/>
    </row>
    <row r="76" spans="2:22" s="829" customFormat="1" ht="102">
      <c r="B76" s="830" t="s">
        <v>2779</v>
      </c>
      <c r="C76" s="830">
        <v>1.59</v>
      </c>
      <c r="D76" s="830" t="s">
        <v>2933</v>
      </c>
      <c r="E76" s="7" t="s">
        <v>2933</v>
      </c>
      <c r="F76" s="831" t="s">
        <v>2937</v>
      </c>
      <c r="G76" s="7"/>
      <c r="H76" s="832" t="s">
        <v>2459</v>
      </c>
      <c r="I76" s="7" t="s">
        <v>2459</v>
      </c>
      <c r="J76" s="7">
        <v>174</v>
      </c>
      <c r="K76" s="6">
        <v>190.13449800000001</v>
      </c>
      <c r="L76" s="7">
        <v>80</v>
      </c>
      <c r="M76" s="833">
        <v>-0.54022988505747127</v>
      </c>
      <c r="N76" s="833">
        <v>-0.57924521409050134</v>
      </c>
      <c r="O76" s="834"/>
      <c r="P76" s="844" t="s">
        <v>2935</v>
      </c>
      <c r="Q76" s="6"/>
      <c r="R76" s="6"/>
      <c r="S76" s="6"/>
      <c r="T76" s="6"/>
      <c r="U76" s="831" t="s">
        <v>2938</v>
      </c>
      <c r="V76" s="845"/>
    </row>
    <row r="77" spans="2:22" s="829" customFormat="1" ht="51">
      <c r="B77" s="830" t="s">
        <v>2809</v>
      </c>
      <c r="C77" s="830" t="s">
        <v>2783</v>
      </c>
      <c r="D77" s="830" t="s">
        <v>2939</v>
      </c>
      <c r="E77" s="7" t="s">
        <v>2940</v>
      </c>
      <c r="F77" s="831"/>
      <c r="G77" s="7"/>
      <c r="H77" s="832"/>
      <c r="I77" s="7" t="s">
        <v>2459</v>
      </c>
      <c r="J77" s="7" t="s">
        <v>2783</v>
      </c>
      <c r="K77" s="6" t="s">
        <v>2783</v>
      </c>
      <c r="L77" s="7">
        <v>80</v>
      </c>
      <c r="M77" s="833" t="s">
        <v>2810</v>
      </c>
      <c r="N77" s="833" t="s">
        <v>2810</v>
      </c>
      <c r="O77" s="834"/>
      <c r="P77" s="844"/>
      <c r="Q77" s="6"/>
      <c r="R77" s="6"/>
      <c r="S77" s="6"/>
      <c r="T77" s="6"/>
      <c r="U77" s="831"/>
      <c r="V77" s="845"/>
    </row>
    <row r="78" spans="2:22" s="816" customFormat="1">
      <c r="B78" s="827"/>
      <c r="C78" s="827" t="s">
        <v>2941</v>
      </c>
      <c r="D78" s="827"/>
      <c r="E78" s="827"/>
      <c r="F78" s="827"/>
      <c r="G78" s="827"/>
      <c r="H78" s="827"/>
      <c r="I78" s="827"/>
      <c r="J78" s="827"/>
      <c r="K78" s="827"/>
      <c r="L78" s="827"/>
      <c r="M78" s="827"/>
      <c r="N78" s="827"/>
      <c r="O78" s="847"/>
      <c r="P78" s="847"/>
      <c r="Q78" s="847"/>
      <c r="R78" s="847"/>
      <c r="S78" s="847"/>
      <c r="T78" s="847"/>
      <c r="U78" s="847"/>
      <c r="V78" s="847"/>
    </row>
    <row r="79" spans="2:22" s="829" customFormat="1" ht="51">
      <c r="B79" s="830"/>
      <c r="C79" s="830">
        <v>2.0099999999999998</v>
      </c>
      <c r="D79" s="830" t="s">
        <v>419</v>
      </c>
      <c r="E79" s="6" t="s">
        <v>414</v>
      </c>
      <c r="F79" s="831" t="s">
        <v>2942</v>
      </c>
      <c r="G79" s="831"/>
      <c r="H79" s="832" t="s">
        <v>211</v>
      </c>
      <c r="I79" s="7" t="s">
        <v>211</v>
      </c>
      <c r="J79" s="7">
        <v>60</v>
      </c>
      <c r="K79" s="6">
        <v>65.56362</v>
      </c>
      <c r="L79" s="7">
        <v>72.619315080162522</v>
      </c>
      <c r="M79" s="833">
        <v>0.21032191800270869</v>
      </c>
      <c r="N79" s="833">
        <v>0.10761600839249758</v>
      </c>
      <c r="O79" s="834"/>
      <c r="P79" s="835" t="s">
        <v>2943</v>
      </c>
      <c r="Q79" s="6"/>
      <c r="R79" s="6"/>
      <c r="S79" s="6"/>
      <c r="T79" s="6" t="s">
        <v>2944</v>
      </c>
      <c r="U79" s="831" t="s">
        <v>2945</v>
      </c>
      <c r="V79" s="836"/>
    </row>
    <row r="80" spans="2:22" s="829" customFormat="1" ht="51">
      <c r="B80" s="830"/>
      <c r="C80" s="830">
        <v>2.02</v>
      </c>
      <c r="D80" s="830" t="s">
        <v>419</v>
      </c>
      <c r="E80" s="6" t="s">
        <v>414</v>
      </c>
      <c r="F80" s="831" t="s">
        <v>2946</v>
      </c>
      <c r="G80" s="831"/>
      <c r="H80" s="832" t="s">
        <v>2807</v>
      </c>
      <c r="I80" s="7" t="s">
        <v>215</v>
      </c>
      <c r="J80" s="7">
        <v>185</v>
      </c>
      <c r="K80" s="6">
        <v>202.154495</v>
      </c>
      <c r="L80" s="7">
        <v>249.98288853273485</v>
      </c>
      <c r="M80" s="833">
        <v>0.3512588569337019</v>
      </c>
      <c r="N80" s="833">
        <v>0.2365932725499616</v>
      </c>
      <c r="O80" s="834"/>
      <c r="P80" s="844"/>
      <c r="Q80" s="6"/>
      <c r="R80" s="6"/>
      <c r="S80" s="6"/>
      <c r="T80" s="6"/>
      <c r="U80" s="831" t="s">
        <v>2947</v>
      </c>
      <c r="V80" s="836"/>
    </row>
    <row r="81" spans="2:22" s="829" customFormat="1" ht="63.75">
      <c r="B81" s="830"/>
      <c r="C81" s="830">
        <v>2.0299999999999998</v>
      </c>
      <c r="D81" s="830" t="s">
        <v>419</v>
      </c>
      <c r="E81" s="6" t="s">
        <v>414</v>
      </c>
      <c r="F81" s="831" t="s">
        <v>2948</v>
      </c>
      <c r="G81" s="831" t="s">
        <v>2949</v>
      </c>
      <c r="H81" s="832" t="s">
        <v>299</v>
      </c>
      <c r="I81" s="6" t="s">
        <v>299</v>
      </c>
      <c r="J81" s="6">
        <v>2860</v>
      </c>
      <c r="K81" s="6">
        <v>3125.19922</v>
      </c>
      <c r="L81" s="7" t="s">
        <v>2950</v>
      </c>
      <c r="M81" s="833" t="s">
        <v>2951</v>
      </c>
      <c r="N81" s="833" t="s">
        <v>2951</v>
      </c>
      <c r="O81" s="834"/>
      <c r="P81" s="835"/>
      <c r="Q81" s="6"/>
      <c r="R81" s="6"/>
      <c r="S81" s="6"/>
      <c r="T81" s="6"/>
      <c r="U81" s="831" t="s">
        <v>2952</v>
      </c>
      <c r="V81" s="836"/>
    </row>
    <row r="82" spans="2:22" s="816" customFormat="1">
      <c r="B82" s="827"/>
      <c r="C82" s="827" t="s">
        <v>2953</v>
      </c>
      <c r="D82" s="827"/>
      <c r="E82" s="827"/>
      <c r="F82" s="827"/>
      <c r="G82" s="827"/>
      <c r="H82" s="827"/>
      <c r="I82" s="827"/>
      <c r="J82" s="827"/>
      <c r="K82" s="827"/>
      <c r="L82" s="827"/>
      <c r="M82" s="827"/>
      <c r="N82" s="827"/>
      <c r="O82" s="847"/>
      <c r="P82" s="847"/>
      <c r="Q82" s="847"/>
      <c r="R82" s="847"/>
      <c r="S82" s="847"/>
      <c r="T82" s="847"/>
      <c r="U82" s="847"/>
      <c r="V82" s="847"/>
    </row>
    <row r="83" spans="2:22" s="848" customFormat="1" ht="242.25">
      <c r="B83" s="830"/>
      <c r="C83" s="830" t="s">
        <v>2954</v>
      </c>
      <c r="D83" s="830" t="s">
        <v>2621</v>
      </c>
      <c r="E83" s="6"/>
      <c r="F83" s="831" t="s">
        <v>2955</v>
      </c>
      <c r="G83" s="831"/>
      <c r="H83" s="832" t="s">
        <v>2956</v>
      </c>
      <c r="I83" s="6" t="s">
        <v>1770</v>
      </c>
      <c r="J83" s="6">
        <v>15000</v>
      </c>
      <c r="K83" s="6">
        <v>16390.904999999999</v>
      </c>
      <c r="L83" s="6">
        <v>16688.099999999999</v>
      </c>
      <c r="M83" s="833">
        <v>0.1125399999999999</v>
      </c>
      <c r="N83" s="833">
        <v>1.8131701696764133E-2</v>
      </c>
      <c r="O83" s="834"/>
      <c r="P83" s="835"/>
      <c r="Q83" s="6"/>
      <c r="R83" s="6"/>
      <c r="S83" s="6"/>
      <c r="T83" s="6"/>
      <c r="U83" s="831" t="s">
        <v>2957</v>
      </c>
      <c r="V83" s="836"/>
    </row>
    <row r="84" spans="2:22" s="848" customFormat="1" ht="344.25">
      <c r="B84" s="830"/>
      <c r="C84" s="830" t="s">
        <v>2958</v>
      </c>
      <c r="D84" s="830" t="s">
        <v>2621</v>
      </c>
      <c r="E84" s="6" t="s">
        <v>2940</v>
      </c>
      <c r="F84" s="831" t="s">
        <v>2959</v>
      </c>
      <c r="G84" s="831" t="s">
        <v>2960</v>
      </c>
      <c r="H84" s="832" t="s">
        <v>2956</v>
      </c>
      <c r="I84" s="6" t="s">
        <v>1770</v>
      </c>
      <c r="J84" s="6">
        <v>44000</v>
      </c>
      <c r="K84" s="6">
        <v>48079.987999999998</v>
      </c>
      <c r="L84" s="6">
        <v>35984.247499999998</v>
      </c>
      <c r="M84" s="833">
        <v>-0.18217619318181824</v>
      </c>
      <c r="N84" s="833">
        <v>-0.25157536436989131</v>
      </c>
      <c r="O84" s="834"/>
      <c r="P84" s="835" t="s">
        <v>2961</v>
      </c>
      <c r="Q84" s="6"/>
      <c r="R84" s="6"/>
      <c r="S84" s="6"/>
      <c r="T84" s="6"/>
      <c r="U84" s="831" t="s">
        <v>2962</v>
      </c>
      <c r="V84" s="836"/>
    </row>
    <row r="85" spans="2:22" s="848" customFormat="1" ht="89.25">
      <c r="B85" s="830"/>
      <c r="C85" s="830"/>
      <c r="D85" s="830" t="s">
        <v>2621</v>
      </c>
      <c r="E85" s="6" t="s">
        <v>2940</v>
      </c>
      <c r="F85" s="831"/>
      <c r="G85" s="831" t="s">
        <v>2963</v>
      </c>
      <c r="H85" s="832"/>
      <c r="I85" s="6" t="s">
        <v>299</v>
      </c>
      <c r="J85" s="6" t="s">
        <v>2783</v>
      </c>
      <c r="K85" s="6" t="s">
        <v>2783</v>
      </c>
      <c r="L85" s="6">
        <v>3647.3318235000002</v>
      </c>
      <c r="M85" s="833" t="s">
        <v>2810</v>
      </c>
      <c r="N85" s="833" t="s">
        <v>2810</v>
      </c>
      <c r="O85" s="834"/>
      <c r="P85" s="835"/>
      <c r="Q85" s="6"/>
      <c r="R85" s="6"/>
      <c r="S85" s="6"/>
      <c r="T85" s="6"/>
      <c r="U85" s="831"/>
      <c r="V85" s="836"/>
    </row>
    <row r="86" spans="2:22" s="848" customFormat="1" ht="357">
      <c r="B86" s="830"/>
      <c r="C86" s="830" t="s">
        <v>2964</v>
      </c>
      <c r="D86" s="830" t="s">
        <v>2965</v>
      </c>
      <c r="E86" s="6" t="s">
        <v>2965</v>
      </c>
      <c r="F86" s="831" t="s">
        <v>2966</v>
      </c>
      <c r="G86" s="831" t="s">
        <v>2967</v>
      </c>
      <c r="H86" s="832" t="s">
        <v>2956</v>
      </c>
      <c r="I86" s="6" t="s">
        <v>2924</v>
      </c>
      <c r="J86" s="6">
        <v>106000</v>
      </c>
      <c r="K86" s="6">
        <v>115829.06200000001</v>
      </c>
      <c r="L86" s="6" t="s">
        <v>2924</v>
      </c>
      <c r="M86" s="833" t="s">
        <v>2968</v>
      </c>
      <c r="N86" s="833" t="s">
        <v>2968</v>
      </c>
      <c r="O86" s="834"/>
      <c r="P86" s="835"/>
      <c r="Q86" s="6"/>
      <c r="R86" s="6"/>
      <c r="S86" s="6"/>
      <c r="T86" s="6"/>
      <c r="U86" s="831" t="s">
        <v>2969</v>
      </c>
      <c r="V86" s="836"/>
    </row>
    <row r="87" spans="2:22" s="848" customFormat="1" ht="114.75">
      <c r="B87" s="830"/>
      <c r="C87" s="830" t="s">
        <v>2970</v>
      </c>
      <c r="D87" s="830" t="s">
        <v>2621</v>
      </c>
      <c r="E87" s="6" t="s">
        <v>2940</v>
      </c>
      <c r="F87" s="831" t="s">
        <v>2971</v>
      </c>
      <c r="G87" s="831" t="s">
        <v>2972</v>
      </c>
      <c r="H87" s="832" t="s">
        <v>2781</v>
      </c>
      <c r="I87" s="6" t="s">
        <v>1770</v>
      </c>
      <c r="J87" s="6">
        <v>35000</v>
      </c>
      <c r="K87" s="6">
        <v>38245.445</v>
      </c>
      <c r="L87" s="6">
        <v>37631.047500000001</v>
      </c>
      <c r="M87" s="833">
        <v>7.5172785714285734E-2</v>
      </c>
      <c r="N87" s="833">
        <v>-1.6064592790069488E-2</v>
      </c>
      <c r="O87" s="834"/>
      <c r="P87" s="835"/>
      <c r="Q87" s="6"/>
      <c r="R87" s="6"/>
      <c r="S87" s="6"/>
      <c r="T87" s="6"/>
      <c r="U87" s="831" t="s">
        <v>2973</v>
      </c>
      <c r="V87" s="836"/>
    </row>
    <row r="88" spans="2:22" s="848" customFormat="1" ht="114.75">
      <c r="B88" s="830"/>
      <c r="C88" s="830" t="s">
        <v>2974</v>
      </c>
      <c r="D88" s="830" t="s">
        <v>2621</v>
      </c>
      <c r="E88" s="6" t="s">
        <v>2940</v>
      </c>
      <c r="F88" s="831" t="s">
        <v>2975</v>
      </c>
      <c r="G88" s="831" t="s">
        <v>2976</v>
      </c>
      <c r="H88" s="832" t="s">
        <v>2781</v>
      </c>
      <c r="I88" s="6" t="s">
        <v>1770</v>
      </c>
      <c r="J88" s="6" t="s">
        <v>2783</v>
      </c>
      <c r="K88" s="6" t="s">
        <v>2783</v>
      </c>
      <c r="L88" s="6">
        <v>63607.614999999998</v>
      </c>
      <c r="M88" s="833" t="s">
        <v>2810</v>
      </c>
      <c r="N88" s="833" t="s">
        <v>2810</v>
      </c>
      <c r="O88" s="834"/>
      <c r="P88" s="835"/>
      <c r="Q88" s="6"/>
      <c r="R88" s="6"/>
      <c r="S88" s="6"/>
      <c r="T88" s="6"/>
      <c r="U88" s="831" t="s">
        <v>2977</v>
      </c>
      <c r="V88" s="836"/>
    </row>
    <row r="89" spans="2:22" s="829" customFormat="1" ht="89.25">
      <c r="B89" s="830"/>
      <c r="C89" s="830">
        <v>3.02</v>
      </c>
      <c r="D89" s="830" t="s">
        <v>2828</v>
      </c>
      <c r="E89" s="7" t="s">
        <v>690</v>
      </c>
      <c r="F89" s="831" t="s">
        <v>2978</v>
      </c>
      <c r="G89" s="831"/>
      <c r="H89" s="832" t="s">
        <v>2979</v>
      </c>
      <c r="I89" s="7" t="s">
        <v>2979</v>
      </c>
      <c r="J89" s="7">
        <v>0.35</v>
      </c>
      <c r="K89" s="6">
        <v>0.38245445</v>
      </c>
      <c r="L89" s="7">
        <v>0.33761050086908156</v>
      </c>
      <c r="M89" s="833">
        <v>-3.5398568945481185E-2</v>
      </c>
      <c r="N89" s="833">
        <v>-0.11725304577033537</v>
      </c>
      <c r="O89" s="834"/>
      <c r="P89" s="844" t="s">
        <v>2980</v>
      </c>
      <c r="Q89" s="7">
        <v>5.3026499999999999</v>
      </c>
      <c r="R89" s="7">
        <v>1</v>
      </c>
      <c r="S89" s="7"/>
      <c r="T89" s="6" t="s">
        <v>2981</v>
      </c>
      <c r="U89" s="831" t="s">
        <v>2982</v>
      </c>
      <c r="V89" s="836"/>
    </row>
    <row r="90" spans="2:22" s="829" customFormat="1" ht="114.75">
      <c r="B90" s="830"/>
      <c r="C90" s="830" t="s">
        <v>2983</v>
      </c>
      <c r="D90" s="830" t="s">
        <v>2924</v>
      </c>
      <c r="E90" s="6" t="s">
        <v>2924</v>
      </c>
      <c r="F90" s="831" t="s">
        <v>2984</v>
      </c>
      <c r="G90" s="831" t="s">
        <v>2783</v>
      </c>
      <c r="H90" s="832" t="s">
        <v>2985</v>
      </c>
      <c r="I90" s="6" t="s">
        <v>2924</v>
      </c>
      <c r="J90" s="6" t="s">
        <v>2783</v>
      </c>
      <c r="K90" s="6" t="s">
        <v>2986</v>
      </c>
      <c r="L90" s="6" t="s">
        <v>2924</v>
      </c>
      <c r="M90" s="833" t="s">
        <v>2810</v>
      </c>
      <c r="N90" s="833" t="s">
        <v>2968</v>
      </c>
      <c r="O90" s="834"/>
      <c r="P90" s="835"/>
      <c r="Q90" s="6"/>
      <c r="R90" s="6"/>
      <c r="S90" s="6"/>
      <c r="T90" s="6"/>
      <c r="U90" s="831" t="s">
        <v>2987</v>
      </c>
      <c r="V90" s="836"/>
    </row>
    <row r="91" spans="2:22" s="829" customFormat="1" ht="140.25">
      <c r="B91" s="830"/>
      <c r="C91" s="830" t="s">
        <v>2988</v>
      </c>
      <c r="D91" s="830" t="s">
        <v>2621</v>
      </c>
      <c r="E91" s="8" t="s">
        <v>2933</v>
      </c>
      <c r="F91" s="831" t="s">
        <v>2989</v>
      </c>
      <c r="G91" s="831" t="s">
        <v>2990</v>
      </c>
      <c r="H91" s="832" t="s">
        <v>2985</v>
      </c>
      <c r="I91" s="832" t="s">
        <v>2985</v>
      </c>
      <c r="J91" s="8">
        <v>3.8982549999999998</v>
      </c>
      <c r="K91" s="6">
        <v>4.2597284913850002</v>
      </c>
      <c r="L91" s="8">
        <v>3.8038184926990666</v>
      </c>
      <c r="M91" s="833">
        <v>-2.4225328333044718E-2</v>
      </c>
      <c r="N91" s="833">
        <v>-0.10702794781591816</v>
      </c>
      <c r="O91" s="834"/>
      <c r="P91" s="835"/>
      <c r="Q91" s="6"/>
      <c r="R91" s="6"/>
      <c r="S91" s="6"/>
      <c r="T91" s="6"/>
      <c r="U91" s="831" t="s">
        <v>2991</v>
      </c>
      <c r="V91" s="836"/>
    </row>
    <row r="92" spans="2:22" s="829" customFormat="1" ht="140.25">
      <c r="B92" s="830"/>
      <c r="C92" s="830" t="s">
        <v>2992</v>
      </c>
      <c r="D92" s="830" t="s">
        <v>2621</v>
      </c>
      <c r="E92" s="8" t="s">
        <v>2933</v>
      </c>
      <c r="F92" s="831" t="s">
        <v>2993</v>
      </c>
      <c r="G92" s="831" t="s">
        <v>2994</v>
      </c>
      <c r="H92" s="832" t="s">
        <v>2985</v>
      </c>
      <c r="I92" s="832" t="s">
        <v>2985</v>
      </c>
      <c r="J92" s="8">
        <v>5.63</v>
      </c>
      <c r="K92" s="6">
        <v>6.1520530099999995</v>
      </c>
      <c r="L92" s="8">
        <v>4.7608854861631187</v>
      </c>
      <c r="M92" s="833">
        <v>-0.15437202732449046</v>
      </c>
      <c r="N92" s="833">
        <v>-0.22613061389028585</v>
      </c>
      <c r="O92" s="834"/>
      <c r="P92" s="835" t="s">
        <v>2943</v>
      </c>
      <c r="Q92" s="6"/>
      <c r="R92" s="6"/>
      <c r="S92" s="6"/>
      <c r="T92" s="6"/>
      <c r="U92" s="831" t="s">
        <v>2991</v>
      </c>
      <c r="V92" s="836"/>
    </row>
    <row r="93" spans="2:22" s="829" customFormat="1" ht="140.25">
      <c r="B93" s="830"/>
      <c r="C93" s="830" t="s">
        <v>2995</v>
      </c>
      <c r="D93" s="830" t="s">
        <v>2621</v>
      </c>
      <c r="E93" s="8" t="s">
        <v>2933</v>
      </c>
      <c r="F93" s="831" t="s">
        <v>2996</v>
      </c>
      <c r="G93" s="831" t="s">
        <v>2997</v>
      </c>
      <c r="H93" s="832" t="s">
        <v>2985</v>
      </c>
      <c r="I93" s="832" t="s">
        <v>2985</v>
      </c>
      <c r="J93" s="8">
        <v>7.81</v>
      </c>
      <c r="K93" s="6">
        <v>8.5341978699999999</v>
      </c>
      <c r="L93" s="8">
        <v>5.8717237214572373</v>
      </c>
      <c r="M93" s="833">
        <v>-0.24817878086334985</v>
      </c>
      <c r="N93" s="833">
        <v>-0.31197708198237062</v>
      </c>
      <c r="O93" s="834"/>
      <c r="P93" s="835" t="s">
        <v>2943</v>
      </c>
      <c r="Q93" s="6"/>
      <c r="R93" s="6"/>
      <c r="S93" s="6"/>
      <c r="T93" s="6"/>
      <c r="U93" s="831" t="s">
        <v>2998</v>
      </c>
      <c r="V93" s="836"/>
    </row>
    <row r="94" spans="2:22" s="829" customFormat="1" ht="140.25">
      <c r="B94" s="830"/>
      <c r="C94" s="830" t="s">
        <v>2999</v>
      </c>
      <c r="D94" s="830" t="s">
        <v>2621</v>
      </c>
      <c r="E94" s="8" t="s">
        <v>2933</v>
      </c>
      <c r="F94" s="831" t="s">
        <v>3000</v>
      </c>
      <c r="G94" s="831" t="s">
        <v>3001</v>
      </c>
      <c r="H94" s="832" t="s">
        <v>2985</v>
      </c>
      <c r="I94" s="832" t="s">
        <v>2985</v>
      </c>
      <c r="J94" s="8">
        <v>9.26</v>
      </c>
      <c r="K94" s="6">
        <v>10.118652019999999</v>
      </c>
      <c r="L94" s="8">
        <v>7.759150192045472</v>
      </c>
      <c r="M94" s="833">
        <v>-0.16207881295405269</v>
      </c>
      <c r="N94" s="833">
        <v>-0.23318341447960253</v>
      </c>
      <c r="O94" s="834"/>
      <c r="P94" s="835" t="s">
        <v>2943</v>
      </c>
      <c r="Q94" s="6"/>
      <c r="R94" s="6"/>
      <c r="S94" s="6"/>
      <c r="T94" s="6"/>
      <c r="U94" s="831" t="s">
        <v>3002</v>
      </c>
      <c r="V94" s="836"/>
    </row>
    <row r="95" spans="2:22" s="829" customFormat="1" ht="76.5">
      <c r="B95" s="830"/>
      <c r="C95" s="830" t="s">
        <v>3003</v>
      </c>
      <c r="D95" s="830" t="s">
        <v>2621</v>
      </c>
      <c r="E95" s="6" t="s">
        <v>2940</v>
      </c>
      <c r="F95" s="831" t="s">
        <v>3004</v>
      </c>
      <c r="G95" s="831" t="s">
        <v>3005</v>
      </c>
      <c r="H95" s="832" t="s">
        <v>2985</v>
      </c>
      <c r="I95" s="7" t="s">
        <v>3006</v>
      </c>
      <c r="J95" s="7">
        <v>800</v>
      </c>
      <c r="K95" s="6">
        <v>874.1816</v>
      </c>
      <c r="L95" s="7">
        <v>1214.3764787131227</v>
      </c>
      <c r="M95" s="833">
        <v>0.51797059839140336</v>
      </c>
      <c r="N95" s="833">
        <v>0.38915813226121743</v>
      </c>
      <c r="O95" s="834"/>
      <c r="P95" s="844" t="s">
        <v>3007</v>
      </c>
      <c r="Q95" s="6"/>
      <c r="R95" s="6"/>
      <c r="S95" s="6"/>
      <c r="T95" s="6"/>
      <c r="U95" s="831" t="s">
        <v>3008</v>
      </c>
      <c r="V95" s="836"/>
    </row>
    <row r="96" spans="2:22" s="829" customFormat="1" ht="76.5">
      <c r="B96" s="830"/>
      <c r="C96" s="830" t="s">
        <v>3009</v>
      </c>
      <c r="D96" s="830" t="s">
        <v>2621</v>
      </c>
      <c r="E96" s="6" t="s">
        <v>2940</v>
      </c>
      <c r="F96" s="831" t="s">
        <v>3010</v>
      </c>
      <c r="G96" s="831" t="s">
        <v>3011</v>
      </c>
      <c r="H96" s="832" t="s">
        <v>219</v>
      </c>
      <c r="I96" s="7" t="s">
        <v>3006</v>
      </c>
      <c r="J96" s="7">
        <v>660</v>
      </c>
      <c r="K96" s="6">
        <v>721.19982000000005</v>
      </c>
      <c r="L96" s="7">
        <v>704.37647871312265</v>
      </c>
      <c r="M96" s="833">
        <v>6.7237088959276742E-2</v>
      </c>
      <c r="N96" s="833">
        <v>-2.3326879486571965E-2</v>
      </c>
      <c r="O96" s="834"/>
      <c r="P96" s="844" t="s">
        <v>3007</v>
      </c>
      <c r="Q96" s="6"/>
      <c r="R96" s="6"/>
      <c r="S96" s="6"/>
      <c r="T96" s="6"/>
      <c r="U96" s="831" t="s">
        <v>3008</v>
      </c>
      <c r="V96" s="836"/>
    </row>
    <row r="97" spans="2:22" s="829" customFormat="1" ht="65.25">
      <c r="B97" s="830"/>
      <c r="C97" s="830">
        <v>3.05</v>
      </c>
      <c r="D97" s="830" t="s">
        <v>2621</v>
      </c>
      <c r="E97" s="6" t="s">
        <v>2940</v>
      </c>
      <c r="F97" s="831" t="s">
        <v>3012</v>
      </c>
      <c r="G97" s="831" t="s">
        <v>3013</v>
      </c>
      <c r="H97" s="832" t="s">
        <v>2985</v>
      </c>
      <c r="I97" s="7" t="s">
        <v>3006</v>
      </c>
      <c r="J97" s="7">
        <v>220</v>
      </c>
      <c r="K97" s="6">
        <v>240.39994000000002</v>
      </c>
      <c r="L97" s="7">
        <v>134.37647871312268</v>
      </c>
      <c r="M97" s="833">
        <v>-0.38919782403126052</v>
      </c>
      <c r="N97" s="833">
        <v>-0.44102948314744722</v>
      </c>
      <c r="O97" s="834"/>
      <c r="P97" s="844" t="s">
        <v>3007</v>
      </c>
      <c r="Q97" s="6"/>
      <c r="R97" s="6"/>
      <c r="S97" s="6"/>
      <c r="T97" s="6"/>
      <c r="U97" s="831" t="s">
        <v>3008</v>
      </c>
      <c r="V97" s="836"/>
    </row>
    <row r="98" spans="2:22" s="829" customFormat="1" ht="102">
      <c r="B98" s="830"/>
      <c r="C98" s="830" t="s">
        <v>3014</v>
      </c>
      <c r="D98" s="830" t="s">
        <v>2924</v>
      </c>
      <c r="E98" s="6" t="s">
        <v>2940</v>
      </c>
      <c r="F98" s="831" t="s">
        <v>3015</v>
      </c>
      <c r="G98" s="831" t="s">
        <v>2967</v>
      </c>
      <c r="H98" s="832" t="s">
        <v>2985</v>
      </c>
      <c r="I98" s="7"/>
      <c r="J98" s="6" t="s">
        <v>2783</v>
      </c>
      <c r="K98" s="6" t="s">
        <v>2986</v>
      </c>
      <c r="L98" s="7" t="s">
        <v>2950</v>
      </c>
      <c r="M98" s="833" t="s">
        <v>2810</v>
      </c>
      <c r="N98" s="833" t="s">
        <v>2951</v>
      </c>
      <c r="O98" s="834"/>
      <c r="P98" s="844"/>
      <c r="Q98" s="6"/>
      <c r="R98" s="6"/>
      <c r="S98" s="6"/>
      <c r="T98" s="6"/>
      <c r="U98" s="831" t="s">
        <v>3016</v>
      </c>
      <c r="V98" s="836"/>
    </row>
    <row r="99" spans="2:22" s="829" customFormat="1" ht="191.25">
      <c r="B99" s="830"/>
      <c r="C99" s="830" t="s">
        <v>3017</v>
      </c>
      <c r="D99" s="830" t="s">
        <v>2924</v>
      </c>
      <c r="E99" s="7" t="s">
        <v>2924</v>
      </c>
      <c r="F99" s="831" t="s">
        <v>3018</v>
      </c>
      <c r="G99" s="837" t="s">
        <v>3019</v>
      </c>
      <c r="H99" s="832" t="s">
        <v>2985</v>
      </c>
      <c r="I99" s="7" t="s">
        <v>2924</v>
      </c>
      <c r="J99" s="7">
        <v>100</v>
      </c>
      <c r="K99" s="6">
        <v>109.2727</v>
      </c>
      <c r="L99" s="7">
        <v>83.358108485747309</v>
      </c>
      <c r="M99" s="833">
        <v>-0.16641891514252691</v>
      </c>
      <c r="N99" s="833">
        <v>-0.23715522279812518</v>
      </c>
      <c r="O99" s="834"/>
      <c r="P99" s="835" t="s">
        <v>2943</v>
      </c>
      <c r="Q99" s="6"/>
      <c r="R99" s="6"/>
      <c r="S99" s="6"/>
      <c r="T99" s="6"/>
      <c r="U99" s="831" t="s">
        <v>3020</v>
      </c>
      <c r="V99" s="836"/>
    </row>
    <row r="100" spans="2:22" s="829" customFormat="1" ht="191.25">
      <c r="B100" s="830"/>
      <c r="C100" s="830" t="s">
        <v>3021</v>
      </c>
      <c r="D100" s="830" t="s">
        <v>2924</v>
      </c>
      <c r="E100" s="7" t="s">
        <v>2924</v>
      </c>
      <c r="F100" s="831" t="s">
        <v>3022</v>
      </c>
      <c r="G100" s="837" t="s">
        <v>3019</v>
      </c>
      <c r="H100" s="832" t="s">
        <v>2985</v>
      </c>
      <c r="I100" s="7" t="s">
        <v>2924</v>
      </c>
      <c r="J100" s="7">
        <v>89</v>
      </c>
      <c r="K100" s="6">
        <v>97.252702999999997</v>
      </c>
      <c r="L100" s="7">
        <v>83.358108485747309</v>
      </c>
      <c r="M100" s="833">
        <v>-6.3392039485985291E-2</v>
      </c>
      <c r="N100" s="833">
        <v>-0.14287103685182601</v>
      </c>
      <c r="O100" s="834"/>
      <c r="P100" s="835" t="s">
        <v>3023</v>
      </c>
      <c r="Q100" s="6"/>
      <c r="R100" s="6"/>
      <c r="S100" s="6"/>
      <c r="T100" s="6"/>
      <c r="U100" s="831" t="s">
        <v>3020</v>
      </c>
      <c r="V100" s="836"/>
    </row>
    <row r="101" spans="2:22" s="829" customFormat="1" ht="191.25">
      <c r="B101" s="830"/>
      <c r="C101" s="830" t="s">
        <v>3024</v>
      </c>
      <c r="D101" s="830" t="s">
        <v>2924</v>
      </c>
      <c r="E101" s="7" t="s">
        <v>2924</v>
      </c>
      <c r="F101" s="831" t="s">
        <v>3025</v>
      </c>
      <c r="G101" s="837" t="s">
        <v>3019</v>
      </c>
      <c r="H101" s="832" t="s">
        <v>2985</v>
      </c>
      <c r="I101" s="7" t="s">
        <v>2924</v>
      </c>
      <c r="J101" s="7">
        <v>78</v>
      </c>
      <c r="K101" s="6">
        <v>85.232706000000007</v>
      </c>
      <c r="L101" s="7">
        <v>83.358108485747309</v>
      </c>
      <c r="M101" s="833">
        <v>6.8693698535221906E-2</v>
      </c>
      <c r="N101" s="833">
        <v>-2.1993875382211831E-2</v>
      </c>
      <c r="O101" s="834"/>
      <c r="P101" s="835" t="s">
        <v>3023</v>
      </c>
      <c r="Q101" s="6"/>
      <c r="R101" s="6"/>
      <c r="S101" s="6"/>
      <c r="T101" s="6"/>
      <c r="U101" s="831" t="s">
        <v>3020</v>
      </c>
      <c r="V101" s="836"/>
    </row>
    <row r="102" spans="2:22" s="829" customFormat="1" ht="191.25">
      <c r="B102" s="830"/>
      <c r="C102" s="830" t="s">
        <v>3026</v>
      </c>
      <c r="D102" s="830" t="s">
        <v>2924</v>
      </c>
      <c r="E102" s="7" t="s">
        <v>2924</v>
      </c>
      <c r="F102" s="831" t="s">
        <v>3027</v>
      </c>
      <c r="G102" s="837" t="s">
        <v>3019</v>
      </c>
      <c r="H102" s="832" t="s">
        <v>2985</v>
      </c>
      <c r="I102" s="7" t="s">
        <v>2924</v>
      </c>
      <c r="J102" s="7">
        <v>75</v>
      </c>
      <c r="K102" s="6">
        <v>81.954525000000004</v>
      </c>
      <c r="L102" s="7">
        <v>83.358108485747309</v>
      </c>
      <c r="M102" s="833">
        <v>0.11144144647663078</v>
      </c>
      <c r="N102" s="833">
        <v>1.7126369602499737E-2</v>
      </c>
      <c r="O102" s="834"/>
      <c r="P102" s="835" t="s">
        <v>3023</v>
      </c>
      <c r="Q102" s="6"/>
      <c r="R102" s="6"/>
      <c r="S102" s="6"/>
      <c r="T102" s="6"/>
      <c r="U102" s="831" t="s">
        <v>3020</v>
      </c>
      <c r="V102" s="836"/>
    </row>
    <row r="103" spans="2:22" s="829" customFormat="1" ht="114.75">
      <c r="B103" s="830"/>
      <c r="C103" s="830">
        <v>3.07</v>
      </c>
      <c r="D103" s="830" t="s">
        <v>2621</v>
      </c>
      <c r="E103" s="6" t="s">
        <v>2940</v>
      </c>
      <c r="F103" s="831" t="s">
        <v>3028</v>
      </c>
      <c r="G103" s="831" t="s">
        <v>3029</v>
      </c>
      <c r="H103" s="832" t="s">
        <v>55</v>
      </c>
      <c r="I103" s="6" t="s">
        <v>221</v>
      </c>
      <c r="J103" s="6">
        <v>150000</v>
      </c>
      <c r="K103" s="6">
        <v>163909.04999999999</v>
      </c>
      <c r="L103" s="6">
        <v>34.320540423513727</v>
      </c>
      <c r="M103" s="833" t="s">
        <v>2924</v>
      </c>
      <c r="N103" s="833">
        <v>-0.99979061229124622</v>
      </c>
      <c r="O103" s="834"/>
      <c r="P103" s="844" t="s">
        <v>1328</v>
      </c>
      <c r="Q103" s="6"/>
      <c r="R103" s="6"/>
      <c r="S103" s="6"/>
      <c r="T103" s="6"/>
      <c r="U103" s="831" t="s">
        <v>3030</v>
      </c>
      <c r="V103" s="836"/>
    </row>
    <row r="104" spans="2:22" s="829" customFormat="1" ht="51">
      <c r="B104" s="830"/>
      <c r="C104" s="830">
        <v>3.08</v>
      </c>
      <c r="D104" s="830" t="s">
        <v>2924</v>
      </c>
      <c r="E104" s="7" t="s">
        <v>2924</v>
      </c>
      <c r="F104" s="831" t="s">
        <v>3031</v>
      </c>
      <c r="G104" s="831" t="s">
        <v>3032</v>
      </c>
      <c r="H104" s="832" t="s">
        <v>2985</v>
      </c>
      <c r="I104" s="7" t="s">
        <v>2924</v>
      </c>
      <c r="J104" s="7">
        <v>165</v>
      </c>
      <c r="K104" s="6">
        <v>180.29995500000001</v>
      </c>
      <c r="L104" s="7" t="s">
        <v>2924</v>
      </c>
      <c r="M104" s="833" t="s">
        <v>2968</v>
      </c>
      <c r="N104" s="833" t="s">
        <v>2968</v>
      </c>
      <c r="O104" s="834"/>
      <c r="P104" s="835"/>
      <c r="Q104" s="6"/>
      <c r="R104" s="6"/>
      <c r="S104" s="6"/>
      <c r="T104" s="6"/>
      <c r="U104" s="831" t="s">
        <v>3033</v>
      </c>
      <c r="V104" s="836"/>
    </row>
    <row r="105" spans="2:22" s="829" customFormat="1" ht="51">
      <c r="B105" s="838"/>
      <c r="C105" s="838">
        <v>3.09</v>
      </c>
      <c r="D105" s="830" t="s">
        <v>2621</v>
      </c>
      <c r="E105" s="6" t="s">
        <v>2940</v>
      </c>
      <c r="F105" s="831" t="s">
        <v>3034</v>
      </c>
      <c r="G105" s="831" t="s">
        <v>3035</v>
      </c>
      <c r="H105" s="832" t="s">
        <v>2807</v>
      </c>
      <c r="I105" s="7" t="s">
        <v>221</v>
      </c>
      <c r="J105" s="7">
        <v>50</v>
      </c>
      <c r="K105" s="6">
        <v>54.63635</v>
      </c>
      <c r="L105" s="7">
        <v>309.76968364394264</v>
      </c>
      <c r="M105" s="833">
        <v>5.1953936728788532</v>
      </c>
      <c r="N105" s="833">
        <v>4.6696628461444192</v>
      </c>
      <c r="O105" s="834"/>
      <c r="P105" s="835" t="s">
        <v>3036</v>
      </c>
      <c r="Q105" s="6"/>
      <c r="R105" s="6"/>
      <c r="S105" s="6"/>
      <c r="T105" s="6"/>
      <c r="U105" s="831" t="s">
        <v>3037</v>
      </c>
      <c r="V105" s="836"/>
    </row>
    <row r="106" spans="2:22" s="829" customFormat="1" ht="51">
      <c r="B106" s="838"/>
      <c r="C106" s="838">
        <v>3.1</v>
      </c>
      <c r="D106" s="830" t="s">
        <v>2621</v>
      </c>
      <c r="E106" s="6" t="s">
        <v>2940</v>
      </c>
      <c r="F106" s="831" t="s">
        <v>3038</v>
      </c>
      <c r="G106" s="831" t="s">
        <v>3039</v>
      </c>
      <c r="H106" s="832" t="s">
        <v>2807</v>
      </c>
      <c r="I106" s="7" t="s">
        <v>221</v>
      </c>
      <c r="J106" s="7">
        <v>40</v>
      </c>
      <c r="K106" s="6">
        <v>43.70908</v>
      </c>
      <c r="L106" s="7" t="s">
        <v>2950</v>
      </c>
      <c r="M106" s="833" t="s">
        <v>2951</v>
      </c>
      <c r="N106" s="833" t="s">
        <v>2951</v>
      </c>
      <c r="O106" s="834"/>
      <c r="P106" s="835"/>
      <c r="Q106" s="6"/>
      <c r="R106" s="6"/>
      <c r="S106" s="6"/>
      <c r="T106" s="6"/>
      <c r="U106" s="831" t="s">
        <v>3037</v>
      </c>
      <c r="V106" s="836"/>
    </row>
    <row r="107" spans="2:22" s="829" customFormat="1" ht="51">
      <c r="B107" s="838"/>
      <c r="C107" s="838" t="s">
        <v>2783</v>
      </c>
      <c r="D107" s="830" t="s">
        <v>2621</v>
      </c>
      <c r="E107" s="6" t="s">
        <v>2940</v>
      </c>
      <c r="F107" s="831"/>
      <c r="G107" s="831" t="s">
        <v>3040</v>
      </c>
      <c r="H107" s="832"/>
      <c r="I107" s="7" t="s">
        <v>215</v>
      </c>
      <c r="J107" s="7" t="s">
        <v>2783</v>
      </c>
      <c r="K107" s="6" t="s">
        <v>2783</v>
      </c>
      <c r="L107" s="7">
        <v>80</v>
      </c>
      <c r="M107" s="833" t="s">
        <v>2810</v>
      </c>
      <c r="N107" s="833" t="s">
        <v>2810</v>
      </c>
      <c r="O107" s="834"/>
      <c r="P107" s="844"/>
      <c r="Q107" s="6"/>
      <c r="R107" s="6"/>
      <c r="S107" s="6"/>
      <c r="T107" s="6"/>
      <c r="U107" s="831" t="s">
        <v>3037</v>
      </c>
      <c r="V107" s="836"/>
    </row>
    <row r="108" spans="2:22" s="829" customFormat="1" ht="25.5">
      <c r="B108" s="838"/>
      <c r="C108" s="838"/>
      <c r="D108" s="830"/>
      <c r="E108" s="6"/>
      <c r="F108" s="831"/>
      <c r="G108" s="831" t="s">
        <v>3041</v>
      </c>
      <c r="H108" s="832"/>
      <c r="I108" s="7" t="s">
        <v>211</v>
      </c>
      <c r="J108" s="7" t="s">
        <v>2783</v>
      </c>
      <c r="K108" s="6" t="s">
        <v>2783</v>
      </c>
      <c r="L108" s="7">
        <v>94.247779607693786</v>
      </c>
      <c r="M108" s="833" t="s">
        <v>2810</v>
      </c>
      <c r="N108" s="833" t="s">
        <v>2810</v>
      </c>
      <c r="O108" s="834"/>
      <c r="P108" s="844"/>
      <c r="Q108" s="6"/>
      <c r="R108" s="6"/>
      <c r="S108" s="6"/>
      <c r="T108" s="6"/>
      <c r="U108" s="831"/>
      <c r="V108" s="836"/>
    </row>
    <row r="109" spans="2:22" s="829" customFormat="1" ht="51">
      <c r="B109" s="830"/>
      <c r="C109" s="830">
        <v>3.11</v>
      </c>
      <c r="D109" s="830" t="s">
        <v>2621</v>
      </c>
      <c r="E109" s="6" t="s">
        <v>2940</v>
      </c>
      <c r="F109" s="831" t="s">
        <v>3042</v>
      </c>
      <c r="G109" s="831"/>
      <c r="H109" s="832" t="s">
        <v>2459</v>
      </c>
      <c r="I109" s="6"/>
      <c r="J109" s="6">
        <v>290</v>
      </c>
      <c r="K109" s="6">
        <v>316.89082999999999</v>
      </c>
      <c r="L109" s="7" t="s">
        <v>2950</v>
      </c>
      <c r="M109" s="833" t="s">
        <v>2951</v>
      </c>
      <c r="N109" s="833" t="s">
        <v>2951</v>
      </c>
      <c r="O109" s="834"/>
      <c r="P109" s="835"/>
      <c r="Q109" s="6"/>
      <c r="R109" s="6"/>
      <c r="S109" s="6"/>
      <c r="T109" s="6"/>
      <c r="U109" s="831" t="s">
        <v>3043</v>
      </c>
      <c r="V109" s="836"/>
    </row>
    <row r="110" spans="2:22" s="829" customFormat="1" ht="63.75">
      <c r="B110" s="830"/>
      <c r="C110" s="830">
        <v>3.12</v>
      </c>
      <c r="D110" s="830" t="s">
        <v>2621</v>
      </c>
      <c r="E110" s="6" t="s">
        <v>2940</v>
      </c>
      <c r="F110" s="831" t="s">
        <v>3044</v>
      </c>
      <c r="G110" s="831" t="s">
        <v>3045</v>
      </c>
      <c r="H110" s="832" t="s">
        <v>299</v>
      </c>
      <c r="I110" s="6" t="s">
        <v>219</v>
      </c>
      <c r="J110" s="6">
        <v>2580</v>
      </c>
      <c r="K110" s="6">
        <v>2819.2356599999998</v>
      </c>
      <c r="L110" s="6">
        <v>400</v>
      </c>
      <c r="M110" s="833">
        <v>-0.84496124031007747</v>
      </c>
      <c r="N110" s="833">
        <v>-0.85811757219330853</v>
      </c>
      <c r="O110" s="834"/>
      <c r="P110" s="835" t="s">
        <v>3046</v>
      </c>
      <c r="Q110" s="6"/>
      <c r="R110" s="6"/>
      <c r="S110" s="6"/>
      <c r="T110" s="6"/>
      <c r="U110" s="831" t="s">
        <v>3047</v>
      </c>
      <c r="V110" s="836"/>
    </row>
    <row r="111" spans="2:22" s="829" customFormat="1" ht="38.25">
      <c r="B111" s="830"/>
      <c r="C111" s="830">
        <v>3.13</v>
      </c>
      <c r="D111" s="830" t="s">
        <v>2621</v>
      </c>
      <c r="E111" s="7" t="s">
        <v>89</v>
      </c>
      <c r="F111" s="831" t="s">
        <v>3048</v>
      </c>
      <c r="G111" s="831"/>
      <c r="H111" s="832" t="s">
        <v>2807</v>
      </c>
      <c r="I111" s="7"/>
      <c r="J111" s="7">
        <v>1</v>
      </c>
      <c r="K111" s="6">
        <v>1.092727</v>
      </c>
      <c r="L111" s="7">
        <v>0.73987026773721654</v>
      </c>
      <c r="M111" s="833">
        <v>-0.26012973226278346</v>
      </c>
      <c r="N111" s="833">
        <v>-0.32291389547689719</v>
      </c>
      <c r="O111" s="834"/>
      <c r="P111" s="835"/>
      <c r="Q111" s="6"/>
      <c r="R111" s="6"/>
      <c r="S111" s="6"/>
      <c r="T111" s="6"/>
      <c r="U111" s="831" t="s">
        <v>3049</v>
      </c>
      <c r="V111" s="836"/>
    </row>
    <row r="112" spans="2:22" s="829" customFormat="1" ht="38.25">
      <c r="B112" s="830"/>
      <c r="C112" s="830" t="s">
        <v>3050</v>
      </c>
      <c r="D112" s="830" t="s">
        <v>2924</v>
      </c>
      <c r="E112" s="7" t="s">
        <v>89</v>
      </c>
      <c r="F112" s="831" t="s">
        <v>3051</v>
      </c>
      <c r="G112" s="831"/>
      <c r="H112" s="832" t="s">
        <v>219</v>
      </c>
      <c r="I112" s="7" t="s">
        <v>2924</v>
      </c>
      <c r="J112" s="6" t="s">
        <v>2783</v>
      </c>
      <c r="K112" s="6" t="s">
        <v>2986</v>
      </c>
      <c r="L112" s="7" t="s">
        <v>2924</v>
      </c>
      <c r="M112" s="833" t="s">
        <v>2810</v>
      </c>
      <c r="N112" s="833" t="s">
        <v>2968</v>
      </c>
      <c r="O112" s="834"/>
      <c r="P112" s="835"/>
      <c r="Q112" s="6"/>
      <c r="R112" s="6"/>
      <c r="S112" s="6"/>
      <c r="T112" s="6"/>
      <c r="U112" s="831" t="s">
        <v>3052</v>
      </c>
      <c r="V112" s="845"/>
    </row>
    <row r="113" spans="2:22" s="829" customFormat="1" ht="38.25">
      <c r="B113" s="830"/>
      <c r="C113" s="830" t="s">
        <v>3053</v>
      </c>
      <c r="D113" s="830" t="s">
        <v>2924</v>
      </c>
      <c r="E113" s="7" t="s">
        <v>89</v>
      </c>
      <c r="F113" s="831" t="s">
        <v>3054</v>
      </c>
      <c r="G113" s="831"/>
      <c r="H113" s="832" t="s">
        <v>219</v>
      </c>
      <c r="I113" s="7" t="s">
        <v>3055</v>
      </c>
      <c r="J113" s="7">
        <v>10.25</v>
      </c>
      <c r="K113" s="6">
        <v>11.200451749999999</v>
      </c>
      <c r="L113" s="14">
        <v>41.755711500974655</v>
      </c>
      <c r="M113" s="833">
        <v>3.0737279513146003</v>
      </c>
      <c r="N113" s="833">
        <v>2.728038157119391</v>
      </c>
      <c r="O113" s="834"/>
      <c r="P113" s="835" t="s">
        <v>2782</v>
      </c>
      <c r="Q113" s="6"/>
      <c r="R113" s="6"/>
      <c r="S113" s="6"/>
      <c r="T113" s="6"/>
      <c r="U113" s="831" t="s">
        <v>3052</v>
      </c>
      <c r="V113" s="845"/>
    </row>
    <row r="114" spans="2:22" s="829" customFormat="1" ht="38.25">
      <c r="B114" s="830"/>
      <c r="C114" s="830" t="s">
        <v>3056</v>
      </c>
      <c r="D114" s="830" t="s">
        <v>2924</v>
      </c>
      <c r="E114" s="7" t="s">
        <v>89</v>
      </c>
      <c r="F114" s="831" t="s">
        <v>3057</v>
      </c>
      <c r="G114" s="831"/>
      <c r="H114" s="832" t="s">
        <v>219</v>
      </c>
      <c r="I114" s="7" t="s">
        <v>3055</v>
      </c>
      <c r="J114" s="7">
        <v>13.125</v>
      </c>
      <c r="K114" s="6">
        <v>14.342041875</v>
      </c>
      <c r="L114" s="14">
        <v>43.520560701754377</v>
      </c>
      <c r="M114" s="833">
        <v>2.3158522439431906</v>
      </c>
      <c r="N114" s="833">
        <v>2.0344745246920692</v>
      </c>
      <c r="O114" s="834"/>
      <c r="P114" s="835" t="s">
        <v>2782</v>
      </c>
      <c r="Q114" s="6"/>
      <c r="R114" s="6"/>
      <c r="S114" s="6"/>
      <c r="T114" s="6"/>
      <c r="U114" s="831" t="s">
        <v>3052</v>
      </c>
      <c r="V114" s="845"/>
    </row>
    <row r="115" spans="2:22" s="829" customFormat="1" ht="38.25">
      <c r="B115" s="830"/>
      <c r="C115" s="830" t="s">
        <v>3058</v>
      </c>
      <c r="D115" s="830" t="s">
        <v>2924</v>
      </c>
      <c r="E115" s="7" t="s">
        <v>89</v>
      </c>
      <c r="F115" s="831" t="s">
        <v>3059</v>
      </c>
      <c r="G115" s="831"/>
      <c r="H115" s="832" t="s">
        <v>219</v>
      </c>
      <c r="I115" s="7" t="s">
        <v>3055</v>
      </c>
      <c r="J115" s="7">
        <v>16.75</v>
      </c>
      <c r="K115" s="6">
        <v>18.303177250000001</v>
      </c>
      <c r="L115" s="14">
        <v>49.406775243664718</v>
      </c>
      <c r="M115" s="833">
        <v>1.9496582235023712</v>
      </c>
      <c r="N115" s="833">
        <v>1.6993551211806528</v>
      </c>
      <c r="O115" s="834"/>
      <c r="P115" s="835" t="s">
        <v>2782</v>
      </c>
      <c r="Q115" s="6"/>
      <c r="R115" s="6"/>
      <c r="S115" s="6"/>
      <c r="T115" s="6"/>
      <c r="U115" s="831" t="s">
        <v>3052</v>
      </c>
      <c r="V115" s="845"/>
    </row>
    <row r="116" spans="2:22" s="829" customFormat="1" ht="51">
      <c r="B116" s="830"/>
      <c r="C116" s="830" t="s">
        <v>3060</v>
      </c>
      <c r="D116" s="830" t="s">
        <v>2621</v>
      </c>
      <c r="E116" s="6" t="s">
        <v>2940</v>
      </c>
      <c r="F116" s="831" t="s">
        <v>3061</v>
      </c>
      <c r="G116" s="831" t="s">
        <v>3062</v>
      </c>
      <c r="H116" s="832" t="s">
        <v>219</v>
      </c>
      <c r="I116" s="7" t="s">
        <v>923</v>
      </c>
      <c r="J116" s="7">
        <v>288</v>
      </c>
      <c r="K116" s="6">
        <v>314.705376</v>
      </c>
      <c r="L116" s="7">
        <v>324.14653727999996</v>
      </c>
      <c r="M116" s="833">
        <v>0.12550880999999986</v>
      </c>
      <c r="N116" s="833">
        <v>2.9999999999999874E-2</v>
      </c>
      <c r="O116" s="834"/>
      <c r="P116" s="844"/>
      <c r="Q116" s="6"/>
      <c r="R116" s="6"/>
      <c r="S116" s="6"/>
      <c r="T116" s="6"/>
      <c r="U116" s="831" t="s">
        <v>3063</v>
      </c>
      <c r="V116" s="845"/>
    </row>
    <row r="117" spans="2:22" s="829" customFormat="1" ht="38.25">
      <c r="B117" s="830"/>
      <c r="C117" s="830" t="s">
        <v>3064</v>
      </c>
      <c r="D117" s="830" t="s">
        <v>2621</v>
      </c>
      <c r="E117" s="7"/>
      <c r="F117" s="831" t="s">
        <v>3065</v>
      </c>
      <c r="G117" s="831"/>
      <c r="H117" s="832" t="s">
        <v>219</v>
      </c>
      <c r="I117" s="7" t="s">
        <v>923</v>
      </c>
      <c r="J117" s="6" t="s">
        <v>2783</v>
      </c>
      <c r="K117" s="6" t="s">
        <v>2986</v>
      </c>
      <c r="L117" s="7" t="s">
        <v>2950</v>
      </c>
      <c r="M117" s="833" t="s">
        <v>2810</v>
      </c>
      <c r="N117" s="833" t="s">
        <v>2951</v>
      </c>
      <c r="O117" s="834"/>
      <c r="P117" s="844"/>
      <c r="Q117" s="6"/>
      <c r="R117" s="6"/>
      <c r="S117" s="6"/>
      <c r="T117" s="6"/>
      <c r="U117" s="831" t="s">
        <v>3066</v>
      </c>
      <c r="V117" s="836"/>
    </row>
    <row r="118" spans="2:22" s="829" customFormat="1" ht="38.25">
      <c r="B118" s="830"/>
      <c r="C118" s="830" t="s">
        <v>3067</v>
      </c>
      <c r="D118" s="830" t="s">
        <v>2621</v>
      </c>
      <c r="E118" s="7"/>
      <c r="F118" s="831" t="s">
        <v>3068</v>
      </c>
      <c r="G118" s="831"/>
      <c r="H118" s="832" t="s">
        <v>219</v>
      </c>
      <c r="I118" s="7" t="s">
        <v>923</v>
      </c>
      <c r="J118" s="7">
        <v>9</v>
      </c>
      <c r="K118" s="6">
        <v>9.834543</v>
      </c>
      <c r="L118" s="14">
        <v>34.796426250812218</v>
      </c>
      <c r="M118" s="833">
        <v>2.8662695834235796</v>
      </c>
      <c r="N118" s="833">
        <v>2.5381843620809037</v>
      </c>
      <c r="O118" s="834"/>
      <c r="P118" s="835" t="s">
        <v>2782</v>
      </c>
      <c r="Q118" s="6"/>
      <c r="R118" s="6"/>
      <c r="S118" s="6"/>
      <c r="T118" s="6"/>
      <c r="U118" s="831" t="s">
        <v>3066</v>
      </c>
      <c r="V118" s="845"/>
    </row>
    <row r="119" spans="2:22" s="829" customFormat="1" ht="38.25">
      <c r="B119" s="830"/>
      <c r="C119" s="830" t="s">
        <v>3069</v>
      </c>
      <c r="D119" s="830" t="s">
        <v>2621</v>
      </c>
      <c r="E119" s="7"/>
      <c r="F119" s="831" t="s">
        <v>3070</v>
      </c>
      <c r="G119" s="831"/>
      <c r="H119" s="832" t="s">
        <v>219</v>
      </c>
      <c r="I119" s="7" t="s">
        <v>923</v>
      </c>
      <c r="J119" s="7">
        <v>12</v>
      </c>
      <c r="K119" s="6">
        <v>13.112724</v>
      </c>
      <c r="L119" s="14">
        <v>36.26713391812865</v>
      </c>
      <c r="M119" s="833">
        <v>2.0222611598440543</v>
      </c>
      <c r="N119" s="833">
        <v>1.7657970928182924</v>
      </c>
      <c r="O119" s="834"/>
      <c r="P119" s="835" t="s">
        <v>2782</v>
      </c>
      <c r="Q119" s="6"/>
      <c r="R119" s="6"/>
      <c r="S119" s="6"/>
      <c r="T119" s="6"/>
      <c r="U119" s="831" t="s">
        <v>3066</v>
      </c>
      <c r="V119" s="845"/>
    </row>
    <row r="120" spans="2:22" s="829" customFormat="1" ht="38.25">
      <c r="B120" s="830"/>
      <c r="C120" s="830" t="s">
        <v>3071</v>
      </c>
      <c r="D120" s="830" t="s">
        <v>2621</v>
      </c>
      <c r="E120" s="7"/>
      <c r="F120" s="831" t="s">
        <v>3072</v>
      </c>
      <c r="G120" s="831"/>
      <c r="H120" s="832" t="s">
        <v>219</v>
      </c>
      <c r="I120" s="7" t="s">
        <v>923</v>
      </c>
      <c r="J120" s="7">
        <v>15</v>
      </c>
      <c r="K120" s="6">
        <v>16.390905</v>
      </c>
      <c r="L120" s="14">
        <v>41.172312703053926</v>
      </c>
      <c r="M120" s="833">
        <v>1.7448208468702617</v>
      </c>
      <c r="N120" s="833">
        <v>1.5118999044319961</v>
      </c>
      <c r="O120" s="834"/>
      <c r="P120" s="835" t="s">
        <v>2782</v>
      </c>
      <c r="Q120" s="6"/>
      <c r="R120" s="6"/>
      <c r="S120" s="6"/>
      <c r="T120" s="6"/>
      <c r="U120" s="831" t="s">
        <v>3066</v>
      </c>
      <c r="V120" s="845"/>
    </row>
    <row r="121" spans="2:22" s="816" customFormat="1">
      <c r="B121" s="827"/>
      <c r="C121" s="827" t="s">
        <v>3073</v>
      </c>
      <c r="D121" s="827"/>
      <c r="E121" s="827"/>
      <c r="F121" s="827"/>
      <c r="G121" s="827"/>
      <c r="H121" s="827"/>
      <c r="I121" s="827"/>
      <c r="J121" s="827"/>
      <c r="K121" s="827"/>
      <c r="L121" s="827"/>
      <c r="M121" s="827"/>
      <c r="N121" s="827"/>
      <c r="O121" s="847"/>
      <c r="P121" s="847"/>
      <c r="Q121" s="847"/>
      <c r="R121" s="847"/>
      <c r="S121" s="847"/>
      <c r="T121" s="847"/>
      <c r="U121" s="847"/>
      <c r="V121" s="847"/>
    </row>
    <row r="122" spans="2:22" s="829" customFormat="1" ht="114.75">
      <c r="B122" s="830"/>
      <c r="C122" s="830" t="s">
        <v>3074</v>
      </c>
      <c r="D122" s="830" t="s">
        <v>2726</v>
      </c>
      <c r="E122" s="6" t="s">
        <v>1096</v>
      </c>
      <c r="F122" s="831" t="s">
        <v>3075</v>
      </c>
      <c r="G122" s="831"/>
      <c r="H122" s="832" t="s">
        <v>2781</v>
      </c>
      <c r="I122" s="6" t="s">
        <v>1357</v>
      </c>
      <c r="J122" s="6">
        <v>126000</v>
      </c>
      <c r="K122" s="6">
        <v>137683.60200000001</v>
      </c>
      <c r="L122" s="6">
        <v>138513.19953720269</v>
      </c>
      <c r="M122" s="833">
        <v>9.9311107438116566E-2</v>
      </c>
      <c r="N122" s="833">
        <v>6.0253910062773716E-3</v>
      </c>
      <c r="O122" s="834"/>
      <c r="P122" s="844"/>
      <c r="Q122" s="6"/>
      <c r="R122" s="6"/>
      <c r="S122" s="6"/>
      <c r="T122" s="6"/>
      <c r="U122" s="831" t="s">
        <v>3076</v>
      </c>
      <c r="V122" s="836"/>
    </row>
    <row r="123" spans="2:22" s="829" customFormat="1" ht="114.75">
      <c r="B123" s="830"/>
      <c r="C123" s="830" t="s">
        <v>3077</v>
      </c>
      <c r="D123" s="830" t="s">
        <v>2726</v>
      </c>
      <c r="E123" s="6" t="s">
        <v>1096</v>
      </c>
      <c r="F123" s="831" t="s">
        <v>3078</v>
      </c>
      <c r="G123" s="831"/>
      <c r="H123" s="832" t="s">
        <v>2781</v>
      </c>
      <c r="I123" s="6" t="s">
        <v>1357</v>
      </c>
      <c r="J123" s="6">
        <v>250000</v>
      </c>
      <c r="K123" s="6">
        <v>273181.75</v>
      </c>
      <c r="L123" s="6">
        <v>275733.74040093599</v>
      </c>
      <c r="M123" s="833">
        <v>0.10293496160374395</v>
      </c>
      <c r="N123" s="833">
        <v>9.341730920663583E-3</v>
      </c>
      <c r="O123" s="834"/>
      <c r="P123" s="844"/>
      <c r="Q123" s="6"/>
      <c r="R123" s="6"/>
      <c r="S123" s="6"/>
      <c r="T123" s="6"/>
      <c r="U123" s="831" t="s">
        <v>3079</v>
      </c>
      <c r="V123" s="836"/>
    </row>
    <row r="124" spans="2:22" s="829" customFormat="1" ht="178.5">
      <c r="B124" s="830"/>
      <c r="C124" s="830" t="s">
        <v>3080</v>
      </c>
      <c r="D124" s="830" t="s">
        <v>2726</v>
      </c>
      <c r="E124" s="6" t="s">
        <v>1096</v>
      </c>
      <c r="F124" s="831" t="s">
        <v>3081</v>
      </c>
      <c r="G124" s="831"/>
      <c r="H124" s="832" t="s">
        <v>2781</v>
      </c>
      <c r="I124" s="6" t="s">
        <v>1357</v>
      </c>
      <c r="J124" s="6">
        <v>250000</v>
      </c>
      <c r="K124" s="6">
        <v>273181.75</v>
      </c>
      <c r="L124" s="6">
        <v>275733.74040093599</v>
      </c>
      <c r="M124" s="833">
        <v>0.10293496160374395</v>
      </c>
      <c r="N124" s="833">
        <v>9.341730920663583E-3</v>
      </c>
      <c r="O124" s="834"/>
      <c r="P124" s="844"/>
      <c r="Q124" s="6"/>
      <c r="R124" s="6"/>
      <c r="S124" s="6"/>
      <c r="T124" s="6"/>
      <c r="U124" s="831" t="s">
        <v>3082</v>
      </c>
      <c r="V124" s="836"/>
    </row>
    <row r="125" spans="2:22" s="829" customFormat="1" ht="153">
      <c r="B125" s="830"/>
      <c r="C125" s="830" t="s">
        <v>3083</v>
      </c>
      <c r="D125" s="830" t="s">
        <v>2726</v>
      </c>
      <c r="E125" s="6" t="s">
        <v>1096</v>
      </c>
      <c r="F125" s="831" t="s">
        <v>3084</v>
      </c>
      <c r="G125" s="831"/>
      <c r="H125" s="832" t="s">
        <v>2781</v>
      </c>
      <c r="I125" s="6" t="s">
        <v>1357</v>
      </c>
      <c r="J125" s="6">
        <v>25000</v>
      </c>
      <c r="K125" s="6">
        <v>27318.174999999999</v>
      </c>
      <c r="L125" s="6">
        <v>29657.363562698574</v>
      </c>
      <c r="M125" s="833">
        <v>0.18629454250794297</v>
      </c>
      <c r="N125" s="833">
        <v>8.5627556112316247E-2</v>
      </c>
      <c r="O125" s="834"/>
      <c r="P125" s="844"/>
      <c r="Q125" s="6"/>
      <c r="R125" s="6"/>
      <c r="S125" s="6"/>
      <c r="T125" s="6"/>
      <c r="U125" s="831" t="s">
        <v>3085</v>
      </c>
      <c r="V125" s="836"/>
    </row>
    <row r="126" spans="2:22" s="829" customFormat="1" ht="63.75">
      <c r="B126" s="830"/>
      <c r="C126" s="830" t="s">
        <v>3086</v>
      </c>
      <c r="D126" s="830" t="s">
        <v>2726</v>
      </c>
      <c r="E126" s="6" t="s">
        <v>1096</v>
      </c>
      <c r="F126" s="831" t="s">
        <v>3087</v>
      </c>
      <c r="G126" s="831"/>
      <c r="H126" s="832" t="s">
        <v>211</v>
      </c>
      <c r="I126" s="6" t="s">
        <v>211</v>
      </c>
      <c r="J126" s="6">
        <v>7250</v>
      </c>
      <c r="K126" s="6">
        <v>7922.2707499999997</v>
      </c>
      <c r="L126" s="6">
        <v>7591.56</v>
      </c>
      <c r="M126" s="833">
        <v>4.7111724137931091E-2</v>
      </c>
      <c r="N126" s="833">
        <v>-4.1744439244265831E-2</v>
      </c>
      <c r="O126" s="834"/>
      <c r="P126" s="844"/>
      <c r="Q126" s="6"/>
      <c r="R126" s="6"/>
      <c r="S126" s="6"/>
      <c r="T126" s="6"/>
      <c r="U126" s="831" t="s">
        <v>3088</v>
      </c>
      <c r="V126" s="836"/>
    </row>
    <row r="127" spans="2:22" s="829" customFormat="1" ht="63.75">
      <c r="B127" s="830"/>
      <c r="C127" s="830" t="s">
        <v>3089</v>
      </c>
      <c r="D127" s="830" t="s">
        <v>2726</v>
      </c>
      <c r="E127" s="6" t="s">
        <v>1096</v>
      </c>
      <c r="F127" s="831" t="s">
        <v>3090</v>
      </c>
      <c r="G127" s="831"/>
      <c r="H127" s="832" t="s">
        <v>211</v>
      </c>
      <c r="I127" s="6" t="s">
        <v>211</v>
      </c>
      <c r="J127" s="6">
        <v>8700</v>
      </c>
      <c r="K127" s="6">
        <v>9506.7248999999993</v>
      </c>
      <c r="L127" s="6">
        <v>10325.200000000001</v>
      </c>
      <c r="M127" s="833">
        <v>0.18680459770114952</v>
      </c>
      <c r="N127" s="833">
        <v>8.6094328868189032E-2</v>
      </c>
      <c r="O127" s="834"/>
      <c r="P127" s="844"/>
      <c r="Q127" s="6"/>
      <c r="R127" s="6"/>
      <c r="S127" s="6"/>
      <c r="T127" s="6"/>
      <c r="U127" s="831" t="s">
        <v>3091</v>
      </c>
      <c r="V127" s="836"/>
    </row>
    <row r="128" spans="2:22" s="829" customFormat="1" ht="25.5">
      <c r="B128" s="830"/>
      <c r="C128" s="830" t="s">
        <v>3092</v>
      </c>
      <c r="D128" s="830" t="s">
        <v>2726</v>
      </c>
      <c r="E128" s="6" t="s">
        <v>1096</v>
      </c>
      <c r="F128" s="831" t="s">
        <v>3093</v>
      </c>
      <c r="G128" s="831"/>
      <c r="H128" s="832" t="s">
        <v>55</v>
      </c>
      <c r="I128" s="6" t="s">
        <v>3094</v>
      </c>
      <c r="J128" s="6">
        <v>30000</v>
      </c>
      <c r="K128" s="6">
        <v>32781.81</v>
      </c>
      <c r="L128" s="6">
        <v>28135.016470396458</v>
      </c>
      <c r="M128" s="833">
        <v>-6.216611765345139E-2</v>
      </c>
      <c r="N128" s="833">
        <v>-0.14174914471176361</v>
      </c>
      <c r="O128" s="834"/>
      <c r="P128" s="844"/>
      <c r="Q128" s="6"/>
      <c r="R128" s="6"/>
      <c r="S128" s="6"/>
      <c r="T128" s="6"/>
      <c r="U128" s="831" t="s">
        <v>3095</v>
      </c>
      <c r="V128" s="836"/>
    </row>
    <row r="129" spans="2:22" s="829" customFormat="1" ht="89.25">
      <c r="B129" s="830"/>
      <c r="C129" s="830" t="s">
        <v>3096</v>
      </c>
      <c r="D129" s="830" t="s">
        <v>2726</v>
      </c>
      <c r="E129" s="6" t="s">
        <v>1096</v>
      </c>
      <c r="F129" s="831" t="s">
        <v>2070</v>
      </c>
      <c r="G129" s="831"/>
      <c r="H129" s="832" t="s">
        <v>2781</v>
      </c>
      <c r="I129" s="6" t="s">
        <v>2071</v>
      </c>
      <c r="J129" s="6">
        <v>150000</v>
      </c>
      <c r="K129" s="6">
        <v>163909.04999999999</v>
      </c>
      <c r="L129" s="6">
        <v>163909.04999999999</v>
      </c>
      <c r="M129" s="833">
        <v>9.2726999999999921E-2</v>
      </c>
      <c r="N129" s="833">
        <v>0</v>
      </c>
      <c r="O129" s="834"/>
      <c r="P129" s="844"/>
      <c r="Q129" s="6"/>
      <c r="R129" s="6"/>
      <c r="S129" s="6"/>
      <c r="T129" s="6"/>
      <c r="U129" s="831" t="s">
        <v>3097</v>
      </c>
      <c r="V129" s="836"/>
    </row>
    <row r="130" spans="2:22" s="829" customFormat="1" ht="76.5">
      <c r="B130" s="830"/>
      <c r="C130" s="830">
        <v>4.04</v>
      </c>
      <c r="D130" s="830" t="s">
        <v>2726</v>
      </c>
      <c r="E130" s="6" t="s">
        <v>1096</v>
      </c>
      <c r="F130" s="837" t="s">
        <v>3098</v>
      </c>
      <c r="G130" s="837"/>
      <c r="H130" s="832" t="s">
        <v>2781</v>
      </c>
      <c r="I130" s="6" t="s">
        <v>3099</v>
      </c>
      <c r="J130" s="6">
        <v>25000</v>
      </c>
      <c r="K130" s="6">
        <v>27318.174999999999</v>
      </c>
      <c r="L130" s="6">
        <v>5463.6350000000002</v>
      </c>
      <c r="M130" s="833">
        <v>-0.78145459999999989</v>
      </c>
      <c r="N130" s="833">
        <v>-0.8</v>
      </c>
      <c r="O130" s="834"/>
      <c r="P130" s="844"/>
      <c r="Q130" s="6"/>
      <c r="R130" s="6"/>
      <c r="S130" s="6"/>
      <c r="T130" s="6"/>
      <c r="U130" s="831" t="s">
        <v>3100</v>
      </c>
      <c r="V130" s="836"/>
    </row>
    <row r="131" spans="2:22" s="829" customFormat="1" ht="76.5">
      <c r="B131" s="830"/>
      <c r="C131" s="830">
        <v>4.05</v>
      </c>
      <c r="D131" s="830" t="s">
        <v>2726</v>
      </c>
      <c r="E131" s="6" t="s">
        <v>1096</v>
      </c>
      <c r="F131" s="831">
        <v>0</v>
      </c>
      <c r="G131" s="831"/>
      <c r="H131" s="832" t="s">
        <v>55</v>
      </c>
      <c r="I131" s="6" t="s">
        <v>3099</v>
      </c>
      <c r="J131" s="6">
        <v>200000</v>
      </c>
      <c r="K131" s="6">
        <v>218545.4</v>
      </c>
      <c r="L131" s="6">
        <v>218545.4</v>
      </c>
      <c r="M131" s="833">
        <v>9.2726999999999976E-2</v>
      </c>
      <c r="N131" s="833">
        <v>0</v>
      </c>
      <c r="O131" s="834"/>
      <c r="P131" s="844"/>
      <c r="Q131" s="6"/>
      <c r="R131" s="6"/>
      <c r="S131" s="6"/>
      <c r="T131" s="6"/>
      <c r="U131" s="831" t="s">
        <v>3101</v>
      </c>
      <c r="V131" s="836"/>
    </row>
    <row r="132" spans="2:22" s="829" customFormat="1" ht="113.1" customHeight="1">
      <c r="B132" s="830"/>
      <c r="C132" s="830" t="s">
        <v>3102</v>
      </c>
      <c r="D132" s="830" t="s">
        <v>1116</v>
      </c>
      <c r="E132" s="7" t="s">
        <v>1116</v>
      </c>
      <c r="F132" s="831" t="s">
        <v>3103</v>
      </c>
      <c r="G132" s="831"/>
      <c r="H132" s="832" t="s">
        <v>3104</v>
      </c>
      <c r="I132" s="7" t="s">
        <v>3105</v>
      </c>
      <c r="J132" s="7">
        <v>44.55</v>
      </c>
      <c r="K132" s="6">
        <v>48.680987849999994</v>
      </c>
      <c r="L132" s="7">
        <v>6738.5269213197498</v>
      </c>
      <c r="M132" s="833">
        <v>150.25761888484288</v>
      </c>
      <c r="N132" s="833">
        <v>137.42214833608293</v>
      </c>
      <c r="O132" s="834"/>
      <c r="P132" s="844" t="s">
        <v>3106</v>
      </c>
      <c r="Q132" s="6"/>
      <c r="R132" s="6"/>
      <c r="S132" s="6"/>
      <c r="T132" s="6"/>
      <c r="U132" s="831" t="s">
        <v>3107</v>
      </c>
      <c r="V132" s="836"/>
    </row>
    <row r="133" spans="2:22" s="829" customFormat="1" ht="76.5">
      <c r="B133" s="830"/>
      <c r="C133" s="830" t="s">
        <v>3108</v>
      </c>
      <c r="D133" s="830" t="s">
        <v>1116</v>
      </c>
      <c r="E133" s="7" t="s">
        <v>1116</v>
      </c>
      <c r="F133" s="831" t="s">
        <v>3109</v>
      </c>
      <c r="G133" s="831"/>
      <c r="H133" s="832" t="s">
        <v>2781</v>
      </c>
      <c r="I133" s="7" t="s">
        <v>3110</v>
      </c>
      <c r="J133" s="7">
        <v>42.5</v>
      </c>
      <c r="K133" s="6">
        <v>46.440897499999998</v>
      </c>
      <c r="L133" s="7">
        <v>46.440897499999998</v>
      </c>
      <c r="M133" s="833">
        <v>9.2726999999999962E-2</v>
      </c>
      <c r="N133" s="833">
        <v>0</v>
      </c>
      <c r="O133" s="834"/>
      <c r="P133" s="844"/>
      <c r="Q133" s="6"/>
      <c r="R133" s="6"/>
      <c r="S133" s="6"/>
      <c r="T133" s="6"/>
      <c r="U133" s="831" t="s">
        <v>1228</v>
      </c>
      <c r="V133" s="836"/>
    </row>
    <row r="134" spans="2:22" s="829" customFormat="1" ht="63.75">
      <c r="B134" s="830"/>
      <c r="C134" s="830">
        <v>4.07</v>
      </c>
      <c r="D134" s="830" t="s">
        <v>1116</v>
      </c>
      <c r="E134" s="7" t="s">
        <v>1116</v>
      </c>
      <c r="F134" s="831" t="s">
        <v>3111</v>
      </c>
      <c r="G134" s="831"/>
      <c r="H134" s="832" t="s">
        <v>2781</v>
      </c>
      <c r="I134" s="6" t="s">
        <v>3110</v>
      </c>
      <c r="J134" s="6">
        <v>5700</v>
      </c>
      <c r="K134" s="6">
        <v>6228.5438999999997</v>
      </c>
      <c r="L134" s="6">
        <v>6228.5438999999997</v>
      </c>
      <c r="M134" s="833">
        <v>9.2726999999999948E-2</v>
      </c>
      <c r="N134" s="833">
        <v>0</v>
      </c>
      <c r="O134" s="834"/>
      <c r="P134" s="844"/>
      <c r="Q134" s="6"/>
      <c r="R134" s="6"/>
      <c r="S134" s="6"/>
      <c r="T134" s="6"/>
      <c r="U134" s="831" t="s">
        <v>3112</v>
      </c>
      <c r="V134" s="836"/>
    </row>
    <row r="135" spans="2:22" s="829" customFormat="1" ht="51">
      <c r="B135" s="830"/>
      <c r="C135" s="830">
        <v>4.08</v>
      </c>
      <c r="D135" s="830" t="s">
        <v>1116</v>
      </c>
      <c r="E135" s="7" t="s">
        <v>1116</v>
      </c>
      <c r="F135" s="831" t="s">
        <v>3113</v>
      </c>
      <c r="G135" s="831"/>
      <c r="H135" s="832" t="s">
        <v>2781</v>
      </c>
      <c r="I135" s="6" t="s">
        <v>3110</v>
      </c>
      <c r="J135" s="6">
        <v>6960</v>
      </c>
      <c r="K135" s="6">
        <v>7605.3799200000003</v>
      </c>
      <c r="L135" s="6">
        <v>7605.3799200000003</v>
      </c>
      <c r="M135" s="833">
        <v>9.2727000000000045E-2</v>
      </c>
      <c r="N135" s="833">
        <v>0</v>
      </c>
      <c r="O135" s="834"/>
      <c r="P135" s="844"/>
      <c r="Q135" s="6"/>
      <c r="R135" s="6"/>
      <c r="S135" s="6"/>
      <c r="T135" s="6"/>
      <c r="U135" s="831" t="s">
        <v>1217</v>
      </c>
      <c r="V135" s="836"/>
    </row>
    <row r="136" spans="2:22" s="829" customFormat="1" ht="38.25">
      <c r="B136" s="830"/>
      <c r="C136" s="830">
        <v>4.09</v>
      </c>
      <c r="D136" s="830" t="s">
        <v>1116</v>
      </c>
      <c r="E136" s="7" t="s">
        <v>1116</v>
      </c>
      <c r="F136" s="831" t="s">
        <v>3114</v>
      </c>
      <c r="G136" s="831"/>
      <c r="H136" s="832" t="s">
        <v>2781</v>
      </c>
      <c r="I136" s="6" t="s">
        <v>3110</v>
      </c>
      <c r="J136" s="6">
        <v>17890</v>
      </c>
      <c r="K136" s="6">
        <v>19548.886030000001</v>
      </c>
      <c r="L136" s="6">
        <v>19548.886030000001</v>
      </c>
      <c r="M136" s="833">
        <v>9.2727000000000087E-2</v>
      </c>
      <c r="N136" s="833">
        <v>0</v>
      </c>
      <c r="O136" s="834"/>
      <c r="P136" s="844"/>
      <c r="Q136" s="6"/>
      <c r="R136" s="6"/>
      <c r="S136" s="6"/>
      <c r="T136" s="6"/>
      <c r="U136" s="831" t="s">
        <v>1220</v>
      </c>
      <c r="V136" s="836"/>
    </row>
    <row r="137" spans="2:22" s="829" customFormat="1" ht="38.25">
      <c r="B137" s="830"/>
      <c r="C137" s="830">
        <v>4.0999999999999996</v>
      </c>
      <c r="D137" s="830" t="s">
        <v>1116</v>
      </c>
      <c r="E137" s="7" t="s">
        <v>1116</v>
      </c>
      <c r="F137" s="831" t="s">
        <v>1221</v>
      </c>
      <c r="G137" s="831"/>
      <c r="H137" s="832" t="s">
        <v>2781</v>
      </c>
      <c r="I137" s="6" t="s">
        <v>3110</v>
      </c>
      <c r="J137" s="6">
        <v>16000</v>
      </c>
      <c r="K137" s="6">
        <v>17483.632000000001</v>
      </c>
      <c r="L137" s="6">
        <v>17483.632000000001</v>
      </c>
      <c r="M137" s="833">
        <v>9.2727000000000087E-2</v>
      </c>
      <c r="N137" s="833">
        <v>0</v>
      </c>
      <c r="O137" s="834"/>
      <c r="P137" s="844"/>
      <c r="Q137" s="6"/>
      <c r="R137" s="6"/>
      <c r="S137" s="6"/>
      <c r="T137" s="6"/>
      <c r="U137" s="831" t="s">
        <v>1222</v>
      </c>
      <c r="V137" s="836"/>
    </row>
    <row r="138" spans="2:22" s="829" customFormat="1" ht="51">
      <c r="B138" s="830"/>
      <c r="C138" s="830">
        <v>4.1100000000000003</v>
      </c>
      <c r="D138" s="830" t="s">
        <v>1116</v>
      </c>
      <c r="E138" s="7" t="s">
        <v>1116</v>
      </c>
      <c r="F138" s="831" t="s">
        <v>3115</v>
      </c>
      <c r="G138" s="831"/>
      <c r="H138" s="832" t="s">
        <v>2781</v>
      </c>
      <c r="I138" s="6" t="s">
        <v>3110</v>
      </c>
      <c r="J138" s="6">
        <v>35000</v>
      </c>
      <c r="K138" s="6">
        <v>38245.445</v>
      </c>
      <c r="L138" s="6">
        <v>38245.445</v>
      </c>
      <c r="M138" s="833">
        <v>9.272699999999999E-2</v>
      </c>
      <c r="N138" s="833">
        <v>0</v>
      </c>
      <c r="O138" s="834"/>
      <c r="P138" s="844"/>
      <c r="Q138" s="6"/>
      <c r="R138" s="6"/>
      <c r="S138" s="6"/>
      <c r="T138" s="6"/>
      <c r="U138" s="831" t="s">
        <v>1223</v>
      </c>
      <c r="V138" s="836"/>
    </row>
    <row r="139" spans="2:22" s="829" customFormat="1" ht="38.25">
      <c r="B139" s="830"/>
      <c r="C139" s="830">
        <v>4.12</v>
      </c>
      <c r="D139" s="830" t="s">
        <v>1116</v>
      </c>
      <c r="E139" s="7" t="s">
        <v>1116</v>
      </c>
      <c r="F139" s="831" t="s">
        <v>3116</v>
      </c>
      <c r="G139" s="831"/>
      <c r="H139" s="832" t="s">
        <v>2781</v>
      </c>
      <c r="I139" s="6" t="s">
        <v>3110</v>
      </c>
      <c r="J139" s="6">
        <v>45000</v>
      </c>
      <c r="K139" s="6">
        <v>49172.715000000004</v>
      </c>
      <c r="L139" s="6">
        <v>49172.715000000004</v>
      </c>
      <c r="M139" s="833">
        <v>9.2727000000000087E-2</v>
      </c>
      <c r="N139" s="833">
        <v>0</v>
      </c>
      <c r="O139" s="834"/>
      <c r="P139" s="844"/>
      <c r="Q139" s="6"/>
      <c r="R139" s="6"/>
      <c r="S139" s="6"/>
      <c r="T139" s="6"/>
      <c r="U139" s="831" t="s">
        <v>1224</v>
      </c>
      <c r="V139" s="836"/>
    </row>
    <row r="140" spans="2:22" s="829" customFormat="1" ht="76.5">
      <c r="B140" s="830"/>
      <c r="C140" s="830">
        <v>4.13</v>
      </c>
      <c r="D140" s="830" t="s">
        <v>1116</v>
      </c>
      <c r="E140" s="7" t="s">
        <v>1116</v>
      </c>
      <c r="F140" s="831" t="s">
        <v>3117</v>
      </c>
      <c r="G140" s="831"/>
      <c r="H140" s="832" t="s">
        <v>55</v>
      </c>
      <c r="I140" s="6" t="s">
        <v>1216</v>
      </c>
      <c r="J140" s="6">
        <v>2070</v>
      </c>
      <c r="K140" s="6">
        <v>2261.9448900000002</v>
      </c>
      <c r="L140" s="6">
        <v>2261.9448900000002</v>
      </c>
      <c r="M140" s="833">
        <v>9.2727000000000101E-2</v>
      </c>
      <c r="N140" s="833">
        <v>0</v>
      </c>
      <c r="O140" s="834"/>
      <c r="P140" s="844"/>
      <c r="Q140" s="6"/>
      <c r="R140" s="6"/>
      <c r="S140" s="6"/>
      <c r="T140" s="6"/>
      <c r="U140" s="831" t="s">
        <v>3118</v>
      </c>
      <c r="V140" s="845"/>
    </row>
    <row r="141" spans="2:22" s="829" customFormat="1" ht="76.5">
      <c r="B141" s="830"/>
      <c r="C141" s="830">
        <v>4.1399999999999997</v>
      </c>
      <c r="D141" s="830" t="s">
        <v>1116</v>
      </c>
      <c r="E141" s="7" t="s">
        <v>1116</v>
      </c>
      <c r="F141" s="831" t="s">
        <v>3119</v>
      </c>
      <c r="G141" s="831"/>
      <c r="H141" s="832" t="s">
        <v>55</v>
      </c>
      <c r="I141" s="6" t="s">
        <v>1216</v>
      </c>
      <c r="J141" s="6">
        <v>1340</v>
      </c>
      <c r="K141" s="6">
        <v>1464.2541799999999</v>
      </c>
      <c r="L141" s="6">
        <v>6070.9384824319186</v>
      </c>
      <c r="M141" s="833">
        <v>3.5305511062924766</v>
      </c>
      <c r="N141" s="833">
        <v>3.14609605719679</v>
      </c>
      <c r="O141" s="834"/>
      <c r="P141" s="844"/>
      <c r="Q141" s="6"/>
      <c r="R141" s="6"/>
      <c r="S141" s="6"/>
      <c r="T141" s="6"/>
      <c r="U141" s="831" t="s">
        <v>3120</v>
      </c>
      <c r="V141" s="845"/>
    </row>
    <row r="142" spans="2:22" s="829" customFormat="1" ht="75.599999999999994" customHeight="1">
      <c r="B142" s="830"/>
      <c r="C142" s="830">
        <v>4.1500000000000004</v>
      </c>
      <c r="D142" s="830" t="s">
        <v>1116</v>
      </c>
      <c r="E142" s="7" t="s">
        <v>1116</v>
      </c>
      <c r="F142" s="831" t="s">
        <v>3121</v>
      </c>
      <c r="G142" s="831"/>
      <c r="H142" s="832" t="s">
        <v>2912</v>
      </c>
      <c r="I142" s="6" t="s">
        <v>1216</v>
      </c>
      <c r="J142" s="6">
        <v>415</v>
      </c>
      <c r="K142" s="6">
        <v>453.48170499999998</v>
      </c>
      <c r="L142" s="6">
        <v>453.48170499999998</v>
      </c>
      <c r="M142" s="833">
        <v>9.2726999999999948E-2</v>
      </c>
      <c r="N142" s="833">
        <v>0</v>
      </c>
      <c r="O142" s="834"/>
      <c r="P142" s="844"/>
      <c r="Q142" s="6"/>
      <c r="R142" s="6"/>
      <c r="S142" s="6"/>
      <c r="T142" s="6"/>
      <c r="U142" s="831" t="s">
        <v>3122</v>
      </c>
      <c r="V142" s="845"/>
    </row>
    <row r="143" spans="2:22" s="816" customFormat="1">
      <c r="B143" s="827"/>
      <c r="C143" s="827" t="s">
        <v>3123</v>
      </c>
      <c r="D143" s="827"/>
      <c r="E143" s="827"/>
      <c r="F143" s="827"/>
      <c r="G143" s="827"/>
      <c r="H143" s="827"/>
      <c r="I143" s="827"/>
      <c r="J143" s="827"/>
      <c r="K143" s="827"/>
      <c r="L143" s="827"/>
      <c r="M143" s="827"/>
      <c r="N143" s="827"/>
      <c r="O143" s="847"/>
      <c r="P143" s="847"/>
      <c r="Q143" s="847"/>
      <c r="R143" s="847"/>
      <c r="S143" s="847"/>
      <c r="T143" s="847"/>
      <c r="U143" s="847"/>
      <c r="V143" s="847"/>
    </row>
    <row r="144" spans="2:22" s="829" customFormat="1" ht="63" customHeight="1">
      <c r="B144" s="830" t="s">
        <v>2779</v>
      </c>
      <c r="C144" s="830">
        <v>5.01</v>
      </c>
      <c r="D144" s="830" t="s">
        <v>2142</v>
      </c>
      <c r="E144" s="6" t="s">
        <v>414</v>
      </c>
      <c r="F144" s="831" t="s">
        <v>3124</v>
      </c>
      <c r="G144" s="831" t="s">
        <v>1121</v>
      </c>
      <c r="H144" s="832" t="s">
        <v>299</v>
      </c>
      <c r="I144" s="6" t="s">
        <v>299</v>
      </c>
      <c r="J144" s="6">
        <v>1040</v>
      </c>
      <c r="K144" s="6">
        <v>1136.4360799999999</v>
      </c>
      <c r="L144" s="6">
        <v>522.58570684367123</v>
      </c>
      <c r="M144" s="833">
        <v>-0.49751374341954691</v>
      </c>
      <c r="N144" s="833">
        <v>-0.54015389335080666</v>
      </c>
      <c r="O144" s="834"/>
      <c r="P144" s="835" t="s">
        <v>2782</v>
      </c>
      <c r="Q144" s="6"/>
      <c r="R144" s="6"/>
      <c r="S144" s="6"/>
      <c r="T144" s="6"/>
      <c r="U144" s="831"/>
      <c r="V144" s="831" t="s">
        <v>2171</v>
      </c>
    </row>
    <row r="145" spans="2:22" s="829" customFormat="1" ht="76.5">
      <c r="B145" s="830" t="s">
        <v>2779</v>
      </c>
      <c r="C145" s="830">
        <v>5.0199999999999996</v>
      </c>
      <c r="D145" s="830" t="s">
        <v>2142</v>
      </c>
      <c r="E145" s="6" t="s">
        <v>414</v>
      </c>
      <c r="F145" s="831" t="s">
        <v>3125</v>
      </c>
      <c r="G145" s="831" t="s">
        <v>439</v>
      </c>
      <c r="H145" s="849" t="s">
        <v>299</v>
      </c>
      <c r="I145" s="6" t="s">
        <v>299</v>
      </c>
      <c r="J145" s="6">
        <v>1500</v>
      </c>
      <c r="K145" s="6">
        <v>1639.0905</v>
      </c>
      <c r="L145" s="6">
        <v>1805.4926835878575</v>
      </c>
      <c r="M145" s="833">
        <v>0.20366178905857169</v>
      </c>
      <c r="N145" s="833">
        <v>0.101521046939054</v>
      </c>
      <c r="O145" s="834"/>
      <c r="P145" s="835" t="s">
        <v>2782</v>
      </c>
      <c r="Q145" s="6"/>
      <c r="R145" s="6"/>
      <c r="S145" s="6"/>
      <c r="T145" s="6"/>
      <c r="U145" s="831"/>
      <c r="V145" s="831" t="s">
        <v>2171</v>
      </c>
    </row>
    <row r="146" spans="2:22" s="829" customFormat="1" ht="76.5">
      <c r="B146" s="830" t="s">
        <v>2779</v>
      </c>
      <c r="C146" s="830">
        <v>5.03</v>
      </c>
      <c r="D146" s="830" t="s">
        <v>2142</v>
      </c>
      <c r="E146" s="6" t="s">
        <v>414</v>
      </c>
      <c r="F146" s="831" t="s">
        <v>3126</v>
      </c>
      <c r="G146" s="831" t="s">
        <v>438</v>
      </c>
      <c r="H146" s="832" t="s">
        <v>299</v>
      </c>
      <c r="I146" s="6" t="s">
        <v>299</v>
      </c>
      <c r="J146" s="6">
        <v>3700</v>
      </c>
      <c r="K146" s="6">
        <v>4043.0898999999999</v>
      </c>
      <c r="L146" s="6">
        <v>6167.5132990033753</v>
      </c>
      <c r="M146" s="833">
        <v>0.66689548621712846</v>
      </c>
      <c r="N146" s="833">
        <v>0.52544550122503475</v>
      </c>
      <c r="O146" s="834">
        <v>2056</v>
      </c>
      <c r="P146" s="835" t="s">
        <v>2782</v>
      </c>
      <c r="Q146" s="6"/>
      <c r="R146" s="6"/>
      <c r="S146" s="6"/>
      <c r="T146" s="6"/>
      <c r="U146" s="831"/>
      <c r="V146" s="831" t="s">
        <v>2173</v>
      </c>
    </row>
    <row r="147" spans="2:22" s="829" customFormat="1" ht="76.5">
      <c r="B147" s="830" t="s">
        <v>2779</v>
      </c>
      <c r="C147" s="830">
        <v>5.04</v>
      </c>
      <c r="D147" s="830" t="s">
        <v>2142</v>
      </c>
      <c r="E147" s="6" t="s">
        <v>414</v>
      </c>
      <c r="F147" s="831" t="s">
        <v>3127</v>
      </c>
      <c r="G147" s="831" t="s">
        <v>438</v>
      </c>
      <c r="H147" s="832" t="s">
        <v>299</v>
      </c>
      <c r="I147" s="6" t="s">
        <v>299</v>
      </c>
      <c r="J147" s="6">
        <v>4485</v>
      </c>
      <c r="K147" s="6">
        <v>4900.8805949999996</v>
      </c>
      <c r="L147" s="6">
        <v>7579.860656003375</v>
      </c>
      <c r="M147" s="833">
        <v>0.69004696900855633</v>
      </c>
      <c r="N147" s="833">
        <v>0.54663238760326816</v>
      </c>
      <c r="O147" s="834"/>
      <c r="P147" s="835" t="s">
        <v>2782</v>
      </c>
      <c r="Q147" s="6"/>
      <c r="R147" s="6"/>
      <c r="S147" s="6"/>
      <c r="T147" s="6"/>
      <c r="U147" s="831"/>
      <c r="V147" s="831" t="s">
        <v>2176</v>
      </c>
    </row>
    <row r="148" spans="2:22" s="829" customFormat="1" ht="89.25">
      <c r="B148" s="830" t="s">
        <v>2779</v>
      </c>
      <c r="C148" s="830">
        <v>5.05</v>
      </c>
      <c r="D148" s="830" t="s">
        <v>2142</v>
      </c>
      <c r="E148" s="6" t="s">
        <v>414</v>
      </c>
      <c r="F148" s="831" t="s">
        <v>3128</v>
      </c>
      <c r="G148" s="831" t="s">
        <v>2165</v>
      </c>
      <c r="H148" s="849" t="s">
        <v>299</v>
      </c>
      <c r="I148" s="6" t="s">
        <v>299</v>
      </c>
      <c r="J148" s="6">
        <v>4870</v>
      </c>
      <c r="K148" s="6">
        <v>5321.5804900000003</v>
      </c>
      <c r="L148" s="6">
        <v>7450.4202757475605</v>
      </c>
      <c r="M148" s="833">
        <v>0.52986042623153196</v>
      </c>
      <c r="N148" s="833">
        <v>0.40003900904025602</v>
      </c>
      <c r="O148" s="834"/>
      <c r="P148" s="835" t="s">
        <v>2782</v>
      </c>
      <c r="Q148" s="6"/>
      <c r="R148" s="6"/>
      <c r="S148" s="6"/>
      <c r="T148" s="6"/>
      <c r="U148" s="831"/>
      <c r="V148" s="831" t="s">
        <v>2173</v>
      </c>
    </row>
    <row r="149" spans="2:22" s="829" customFormat="1" ht="102">
      <c r="B149" s="830" t="s">
        <v>2779</v>
      </c>
      <c r="C149" s="830">
        <v>5.0599999999999996</v>
      </c>
      <c r="D149" s="830" t="s">
        <v>2142</v>
      </c>
      <c r="E149" s="6" t="s">
        <v>414</v>
      </c>
      <c r="F149" s="831" t="s">
        <v>3129</v>
      </c>
      <c r="G149" s="831" t="s">
        <v>2165</v>
      </c>
      <c r="H149" s="849" t="s">
        <v>299</v>
      </c>
      <c r="I149" s="6" t="s">
        <v>299</v>
      </c>
      <c r="J149" s="6">
        <v>7025</v>
      </c>
      <c r="K149" s="6">
        <v>7676.4071750000003</v>
      </c>
      <c r="L149" s="6">
        <v>8862.7676327475619</v>
      </c>
      <c r="M149" s="833">
        <v>0.2616039334871974</v>
      </c>
      <c r="N149" s="833">
        <v>0.15454631713794698</v>
      </c>
      <c r="O149" s="834"/>
      <c r="P149" s="835" t="s">
        <v>2782</v>
      </c>
      <c r="Q149" s="6"/>
      <c r="R149" s="6"/>
      <c r="S149" s="6"/>
      <c r="T149" s="6"/>
      <c r="U149" s="831"/>
      <c r="V149" s="831" t="s">
        <v>2176</v>
      </c>
    </row>
    <row r="150" spans="2:22" s="829" customFormat="1" ht="52.5" customHeight="1">
      <c r="B150" s="830" t="s">
        <v>2809</v>
      </c>
      <c r="C150" s="830"/>
      <c r="D150" s="830" t="s">
        <v>2142</v>
      </c>
      <c r="E150" s="6" t="s">
        <v>414</v>
      </c>
      <c r="F150" s="831" t="s">
        <v>437</v>
      </c>
      <c r="G150" s="831" t="s">
        <v>437</v>
      </c>
      <c r="H150" s="849"/>
      <c r="I150" s="6" t="s">
        <v>299</v>
      </c>
      <c r="J150" s="6" t="s">
        <v>2783</v>
      </c>
      <c r="K150" s="6" t="s">
        <v>2783</v>
      </c>
      <c r="L150" s="6">
        <v>15423.150351777465</v>
      </c>
      <c r="M150" s="833" t="s">
        <v>2810</v>
      </c>
      <c r="N150" s="833" t="s">
        <v>2810</v>
      </c>
      <c r="O150" s="834"/>
      <c r="P150" s="844"/>
      <c r="Q150" s="6"/>
      <c r="R150" s="6"/>
      <c r="S150" s="6"/>
      <c r="T150" s="6"/>
      <c r="U150" s="831"/>
      <c r="V150" s="831" t="s">
        <v>2174</v>
      </c>
    </row>
    <row r="151" spans="2:22" s="829" customFormat="1" ht="52.5" customHeight="1">
      <c r="B151" s="830" t="s">
        <v>2809</v>
      </c>
      <c r="C151" s="830"/>
      <c r="D151" s="830" t="s">
        <v>2142</v>
      </c>
      <c r="E151" s="6" t="s">
        <v>414</v>
      </c>
      <c r="F151" s="831" t="s">
        <v>437</v>
      </c>
      <c r="G151" s="831" t="s">
        <v>437</v>
      </c>
      <c r="H151" s="849"/>
      <c r="I151" s="6" t="s">
        <v>299</v>
      </c>
      <c r="J151" s="6" t="s">
        <v>2783</v>
      </c>
      <c r="K151" s="6" t="s">
        <v>2783</v>
      </c>
      <c r="L151" s="6">
        <v>16835.497708777464</v>
      </c>
      <c r="M151" s="833" t="s">
        <v>2810</v>
      </c>
      <c r="N151" s="833" t="s">
        <v>2810</v>
      </c>
      <c r="O151" s="834"/>
      <c r="P151" s="844"/>
      <c r="Q151" s="6"/>
      <c r="R151" s="6"/>
      <c r="S151" s="6"/>
      <c r="T151" s="6"/>
      <c r="U151" s="831"/>
      <c r="V151" s="831" t="s">
        <v>2177</v>
      </c>
    </row>
    <row r="152" spans="2:22" s="829" customFormat="1" ht="52.5" customHeight="1">
      <c r="B152" s="830" t="s">
        <v>2809</v>
      </c>
      <c r="C152" s="830"/>
      <c r="D152" s="830" t="s">
        <v>2142</v>
      </c>
      <c r="E152" s="6" t="s">
        <v>414</v>
      </c>
      <c r="F152" s="831" t="s">
        <v>437</v>
      </c>
      <c r="G152" s="831" t="s">
        <v>437</v>
      </c>
      <c r="H152" s="849"/>
      <c r="I152" s="6" t="s">
        <v>299</v>
      </c>
      <c r="J152" s="6" t="s">
        <v>2783</v>
      </c>
      <c r="K152" s="6" t="s">
        <v>2783</v>
      </c>
      <c r="L152" s="6">
        <v>12662.685708777464</v>
      </c>
      <c r="M152" s="833" t="s">
        <v>2810</v>
      </c>
      <c r="N152" s="833" t="s">
        <v>2810</v>
      </c>
      <c r="O152" s="834"/>
      <c r="P152" s="844"/>
      <c r="Q152" s="6"/>
      <c r="R152" s="6"/>
      <c r="S152" s="6"/>
      <c r="T152" s="6"/>
      <c r="U152" s="831"/>
      <c r="V152" s="831" t="s">
        <v>2180</v>
      </c>
    </row>
    <row r="153" spans="2:22" s="829" customFormat="1" ht="72.95" customHeight="1">
      <c r="B153" s="830" t="s">
        <v>2809</v>
      </c>
      <c r="C153" s="830"/>
      <c r="D153" s="830" t="s">
        <v>2142</v>
      </c>
      <c r="E153" s="6" t="s">
        <v>414</v>
      </c>
      <c r="F153" s="831" t="s">
        <v>2143</v>
      </c>
      <c r="G153" s="831" t="s">
        <v>2143</v>
      </c>
      <c r="H153" s="849"/>
      <c r="I153" s="6" t="s">
        <v>299</v>
      </c>
      <c r="J153" s="6" t="s">
        <v>2783</v>
      </c>
      <c r="K153" s="6" t="s">
        <v>2783</v>
      </c>
      <c r="L153" s="6">
        <v>606.26802352941172</v>
      </c>
      <c r="M153" s="833" t="s">
        <v>2810</v>
      </c>
      <c r="N153" s="833" t="s">
        <v>2810</v>
      </c>
      <c r="O153" s="834"/>
      <c r="P153" s="844"/>
      <c r="Q153" s="6"/>
      <c r="R153" s="6"/>
      <c r="S153" s="6"/>
      <c r="T153" s="6"/>
      <c r="U153" s="831"/>
      <c r="V153" s="831" t="s">
        <v>2154</v>
      </c>
    </row>
    <row r="154" spans="2:22" s="829" customFormat="1" ht="77.45" customHeight="1">
      <c r="B154" s="830" t="s">
        <v>2809</v>
      </c>
      <c r="C154" s="830"/>
      <c r="D154" s="830" t="s">
        <v>2142</v>
      </c>
      <c r="E154" s="6" t="s">
        <v>414</v>
      </c>
      <c r="F154" s="831" t="s">
        <v>428</v>
      </c>
      <c r="G154" s="831" t="s">
        <v>428</v>
      </c>
      <c r="H154" s="849"/>
      <c r="I154" s="6" t="s">
        <v>299</v>
      </c>
      <c r="J154" s="6" t="s">
        <v>2783</v>
      </c>
      <c r="K154" s="6" t="s">
        <v>2783</v>
      </c>
      <c r="L154" s="6">
        <v>5832.1013200837133</v>
      </c>
      <c r="M154" s="833" t="s">
        <v>2810</v>
      </c>
      <c r="N154" s="833" t="s">
        <v>2810</v>
      </c>
      <c r="O154" s="834">
        <v>4600</v>
      </c>
      <c r="P154" s="844"/>
      <c r="Q154" s="6"/>
      <c r="R154" s="6"/>
      <c r="S154" s="6"/>
      <c r="T154" s="6"/>
      <c r="U154" s="831"/>
      <c r="V154" s="831" t="s">
        <v>2156</v>
      </c>
    </row>
    <row r="155" spans="2:22" s="829" customFormat="1" ht="77.45" customHeight="1">
      <c r="B155" s="830" t="s">
        <v>2809</v>
      </c>
      <c r="C155" s="830"/>
      <c r="D155" s="830" t="s">
        <v>2142</v>
      </c>
      <c r="E155" s="6" t="s">
        <v>414</v>
      </c>
      <c r="F155" s="831" t="s">
        <v>427</v>
      </c>
      <c r="G155" s="831" t="s">
        <v>427</v>
      </c>
      <c r="H155" s="849"/>
      <c r="I155" s="6" t="s">
        <v>299</v>
      </c>
      <c r="J155" s="6" t="s">
        <v>2783</v>
      </c>
      <c r="K155" s="6" t="s">
        <v>2783</v>
      </c>
      <c r="L155" s="6">
        <v>21965.770767023547</v>
      </c>
      <c r="M155" s="833" t="s">
        <v>2810</v>
      </c>
      <c r="N155" s="833" t="s">
        <v>2810</v>
      </c>
      <c r="O155" s="834"/>
      <c r="P155" s="844"/>
      <c r="Q155" s="6"/>
      <c r="R155" s="6"/>
      <c r="S155" s="6"/>
      <c r="T155" s="6"/>
      <c r="U155" s="831"/>
      <c r="V155" s="831" t="s">
        <v>2157</v>
      </c>
    </row>
    <row r="156" spans="2:22" s="829" customFormat="1" ht="77.45" customHeight="1">
      <c r="B156" s="830" t="s">
        <v>2809</v>
      </c>
      <c r="C156" s="830"/>
      <c r="D156" s="830" t="s">
        <v>2142</v>
      </c>
      <c r="E156" s="6" t="s">
        <v>414</v>
      </c>
      <c r="F156" s="831" t="s">
        <v>2143</v>
      </c>
      <c r="G156" s="831" t="s">
        <v>2143</v>
      </c>
      <c r="H156" s="849"/>
      <c r="I156" s="6" t="s">
        <v>299</v>
      </c>
      <c r="J156" s="6" t="s">
        <v>2783</v>
      </c>
      <c r="K156" s="6" t="s">
        <v>2783</v>
      </c>
      <c r="L156" s="6">
        <v>606.26802352941172</v>
      </c>
      <c r="M156" s="833" t="s">
        <v>2810</v>
      </c>
      <c r="N156" s="833" t="s">
        <v>2810</v>
      </c>
      <c r="O156" s="834"/>
      <c r="P156" s="844"/>
      <c r="Q156" s="6"/>
      <c r="R156" s="6"/>
      <c r="S156" s="6"/>
      <c r="T156" s="6"/>
      <c r="U156" s="831"/>
      <c r="V156" s="831" t="s">
        <v>2154</v>
      </c>
    </row>
    <row r="157" spans="2:22" s="829" customFormat="1" ht="77.45" customHeight="1">
      <c r="B157" s="830" t="s">
        <v>2809</v>
      </c>
      <c r="C157" s="830"/>
      <c r="D157" s="830" t="s">
        <v>2142</v>
      </c>
      <c r="E157" s="6" t="s">
        <v>414</v>
      </c>
      <c r="F157" s="831" t="s">
        <v>428</v>
      </c>
      <c r="G157" s="831" t="s">
        <v>428</v>
      </c>
      <c r="H157" s="849"/>
      <c r="I157" s="6" t="s">
        <v>299</v>
      </c>
      <c r="J157" s="6" t="s">
        <v>2783</v>
      </c>
      <c r="K157" s="6" t="s">
        <v>2783</v>
      </c>
      <c r="L157" s="6">
        <v>7244.4486770837129</v>
      </c>
      <c r="M157" s="833" t="s">
        <v>2810</v>
      </c>
      <c r="N157" s="833" t="s">
        <v>2810</v>
      </c>
      <c r="O157" s="834">
        <v>7141</v>
      </c>
      <c r="P157" s="844"/>
      <c r="Q157" s="6"/>
      <c r="R157" s="6"/>
      <c r="S157" s="6"/>
      <c r="T157" s="6"/>
      <c r="U157" s="831"/>
      <c r="V157" s="831" t="s">
        <v>2159</v>
      </c>
    </row>
    <row r="158" spans="2:22" s="829" customFormat="1" ht="77.45" customHeight="1">
      <c r="B158" s="830" t="s">
        <v>2809</v>
      </c>
      <c r="C158" s="830"/>
      <c r="D158" s="830" t="s">
        <v>2142</v>
      </c>
      <c r="E158" s="6" t="s">
        <v>414</v>
      </c>
      <c r="F158" s="831" t="s">
        <v>427</v>
      </c>
      <c r="G158" s="831" t="s">
        <v>427</v>
      </c>
      <c r="H158" s="849"/>
      <c r="I158" s="6" t="s">
        <v>299</v>
      </c>
      <c r="J158" s="6" t="s">
        <v>2783</v>
      </c>
      <c r="K158" s="6" t="s">
        <v>2783</v>
      </c>
      <c r="L158" s="6">
        <v>23378.118124023549</v>
      </c>
      <c r="M158" s="833" t="s">
        <v>2810</v>
      </c>
      <c r="N158" s="833" t="s">
        <v>2810</v>
      </c>
      <c r="O158" s="834"/>
      <c r="P158" s="844"/>
      <c r="Q158" s="6"/>
      <c r="R158" s="6"/>
      <c r="S158" s="6"/>
      <c r="T158" s="6"/>
      <c r="U158" s="831"/>
      <c r="V158" s="831" t="s">
        <v>2160</v>
      </c>
    </row>
    <row r="159" spans="2:22" s="829" customFormat="1" ht="77.45" customHeight="1">
      <c r="B159" s="830" t="s">
        <v>2809</v>
      </c>
      <c r="C159" s="830"/>
      <c r="D159" s="830" t="s">
        <v>2142</v>
      </c>
      <c r="E159" s="6" t="s">
        <v>414</v>
      </c>
      <c r="F159" s="831" t="s">
        <v>2143</v>
      </c>
      <c r="G159" s="831" t="s">
        <v>2143</v>
      </c>
      <c r="H159" s="849"/>
      <c r="I159" s="6" t="s">
        <v>299</v>
      </c>
      <c r="J159" s="6" t="s">
        <v>2783</v>
      </c>
      <c r="K159" s="6" t="s">
        <v>2783</v>
      </c>
      <c r="L159" s="6">
        <v>606.26802352941172</v>
      </c>
      <c r="M159" s="833" t="s">
        <v>2810</v>
      </c>
      <c r="N159" s="833" t="s">
        <v>2810</v>
      </c>
      <c r="O159" s="834"/>
      <c r="P159" s="844"/>
      <c r="Q159" s="6"/>
      <c r="R159" s="6"/>
      <c r="S159" s="6"/>
      <c r="T159" s="6"/>
      <c r="U159" s="831"/>
      <c r="V159" s="831" t="s">
        <v>2154</v>
      </c>
    </row>
    <row r="160" spans="2:22" s="829" customFormat="1" ht="77.45" customHeight="1">
      <c r="B160" s="830" t="s">
        <v>2809</v>
      </c>
      <c r="C160" s="830"/>
      <c r="D160" s="830" t="s">
        <v>2142</v>
      </c>
      <c r="E160" s="6" t="s">
        <v>414</v>
      </c>
      <c r="F160" s="831" t="s">
        <v>428</v>
      </c>
      <c r="G160" s="831" t="s">
        <v>428</v>
      </c>
      <c r="H160" s="849"/>
      <c r="I160" s="6" t="s">
        <v>299</v>
      </c>
      <c r="J160" s="6" t="s">
        <v>2783</v>
      </c>
      <c r="K160" s="6" t="s">
        <v>2783</v>
      </c>
      <c r="L160" s="6">
        <v>3071.6366770837135</v>
      </c>
      <c r="M160" s="833" t="s">
        <v>2810</v>
      </c>
      <c r="N160" s="833" t="s">
        <v>2810</v>
      </c>
      <c r="O160" s="834"/>
      <c r="P160" s="844"/>
      <c r="Q160" s="6"/>
      <c r="R160" s="6"/>
      <c r="S160" s="6"/>
      <c r="T160" s="6"/>
      <c r="U160" s="831"/>
      <c r="V160" s="831" t="s">
        <v>2162</v>
      </c>
    </row>
    <row r="161" spans="2:22" s="829" customFormat="1" ht="77.45" customHeight="1">
      <c r="B161" s="830" t="s">
        <v>2809</v>
      </c>
      <c r="C161" s="830"/>
      <c r="D161" s="830" t="s">
        <v>2142</v>
      </c>
      <c r="E161" s="6" t="s">
        <v>414</v>
      </c>
      <c r="F161" s="831" t="s">
        <v>427</v>
      </c>
      <c r="G161" s="831" t="s">
        <v>427</v>
      </c>
      <c r="H161" s="849"/>
      <c r="I161" s="6" t="s">
        <v>299</v>
      </c>
      <c r="J161" s="6" t="s">
        <v>2783</v>
      </c>
      <c r="K161" s="6" t="s">
        <v>2783</v>
      </c>
      <c r="L161" s="6">
        <v>19205.306124023547</v>
      </c>
      <c r="M161" s="833" t="s">
        <v>2810</v>
      </c>
      <c r="N161" s="833" t="s">
        <v>2810</v>
      </c>
      <c r="O161" s="834"/>
      <c r="P161" s="844"/>
      <c r="Q161" s="6"/>
      <c r="R161" s="6"/>
      <c r="S161" s="6"/>
      <c r="T161" s="6"/>
      <c r="U161" s="831"/>
      <c r="V161" s="831" t="s">
        <v>2163</v>
      </c>
    </row>
    <row r="162" spans="2:22" s="829" customFormat="1" ht="76.5">
      <c r="B162" s="830" t="s">
        <v>2779</v>
      </c>
      <c r="C162" s="830" t="s">
        <v>3130</v>
      </c>
      <c r="D162" s="830" t="s">
        <v>2142</v>
      </c>
      <c r="E162" s="6" t="s">
        <v>414</v>
      </c>
      <c r="F162" s="831" t="s">
        <v>3131</v>
      </c>
      <c r="G162" s="831"/>
      <c r="H162" s="832" t="s">
        <v>2985</v>
      </c>
      <c r="I162" s="831" t="s">
        <v>2985</v>
      </c>
      <c r="J162" s="6" t="s">
        <v>2783</v>
      </c>
      <c r="K162" s="6" t="s">
        <v>2986</v>
      </c>
      <c r="L162" s="6" t="s">
        <v>2950</v>
      </c>
      <c r="M162" s="833" t="s">
        <v>2810</v>
      </c>
      <c r="N162" s="833" t="s">
        <v>2951</v>
      </c>
      <c r="O162" s="834"/>
      <c r="P162" s="835"/>
      <c r="Q162" s="6"/>
      <c r="R162" s="6"/>
      <c r="S162" s="6"/>
      <c r="T162" s="6"/>
      <c r="U162" s="831" t="s">
        <v>3132</v>
      </c>
      <c r="V162" s="836"/>
    </row>
    <row r="163" spans="2:22" s="829" customFormat="1" ht="63.75">
      <c r="B163" s="830" t="s">
        <v>2779</v>
      </c>
      <c r="C163" s="830" t="s">
        <v>3133</v>
      </c>
      <c r="D163" s="830" t="s">
        <v>2142</v>
      </c>
      <c r="E163" s="6" t="s">
        <v>414</v>
      </c>
      <c r="F163" s="831" t="s">
        <v>3134</v>
      </c>
      <c r="G163" s="831"/>
      <c r="H163" s="832" t="s">
        <v>2985</v>
      </c>
      <c r="I163" s="831" t="s">
        <v>2985</v>
      </c>
      <c r="J163" s="8">
        <v>4.4489299999999998</v>
      </c>
      <c r="K163" s="7">
        <v>4.8614659321099998</v>
      </c>
      <c r="L163" s="6" t="s">
        <v>2950</v>
      </c>
      <c r="M163" s="833" t="s">
        <v>2951</v>
      </c>
      <c r="N163" s="833" t="s">
        <v>2951</v>
      </c>
      <c r="O163" s="834"/>
      <c r="P163" s="835"/>
      <c r="Q163" s="6"/>
      <c r="R163" s="6"/>
      <c r="S163" s="6"/>
      <c r="T163" s="6"/>
      <c r="U163" s="831" t="s">
        <v>3135</v>
      </c>
      <c r="V163" s="836"/>
    </row>
    <row r="164" spans="2:22" s="829" customFormat="1" ht="63.75">
      <c r="B164" s="830" t="s">
        <v>2779</v>
      </c>
      <c r="C164" s="830" t="s">
        <v>3136</v>
      </c>
      <c r="D164" s="830" t="s">
        <v>2142</v>
      </c>
      <c r="E164" s="6" t="s">
        <v>414</v>
      </c>
      <c r="F164" s="831" t="s">
        <v>3137</v>
      </c>
      <c r="G164" s="831"/>
      <c r="H164" s="832" t="s">
        <v>2985</v>
      </c>
      <c r="I164" s="831" t="s">
        <v>2985</v>
      </c>
      <c r="J164" s="8">
        <v>5.6406399999999994</v>
      </c>
      <c r="K164" s="7">
        <v>6.1636796252799995</v>
      </c>
      <c r="L164" s="6" t="s">
        <v>2950</v>
      </c>
      <c r="M164" s="833" t="s">
        <v>2951</v>
      </c>
      <c r="N164" s="833" t="s">
        <v>2951</v>
      </c>
      <c r="O164" s="834"/>
      <c r="P164" s="835"/>
      <c r="Q164" s="6"/>
      <c r="R164" s="6"/>
      <c r="S164" s="6"/>
      <c r="T164" s="6"/>
      <c r="U164" s="831" t="s">
        <v>3138</v>
      </c>
      <c r="V164" s="836"/>
    </row>
    <row r="165" spans="2:22" s="829" customFormat="1" ht="63.75">
      <c r="B165" s="830" t="s">
        <v>2779</v>
      </c>
      <c r="C165" s="830" t="s">
        <v>3139</v>
      </c>
      <c r="D165" s="830" t="s">
        <v>2142</v>
      </c>
      <c r="E165" s="6" t="s">
        <v>414</v>
      </c>
      <c r="F165" s="831" t="s">
        <v>3140</v>
      </c>
      <c r="G165" s="831"/>
      <c r="H165" s="832" t="s">
        <v>2985</v>
      </c>
      <c r="I165" s="831" t="s">
        <v>2985</v>
      </c>
      <c r="J165" s="8">
        <v>7.1978050000000007</v>
      </c>
      <c r="K165" s="7">
        <v>7.8652358642350011</v>
      </c>
      <c r="L165" s="6" t="s">
        <v>2950</v>
      </c>
      <c r="M165" s="833" t="s">
        <v>2951</v>
      </c>
      <c r="N165" s="833" t="s">
        <v>2951</v>
      </c>
      <c r="O165" s="834"/>
      <c r="P165" s="835"/>
      <c r="Q165" s="6"/>
      <c r="R165" s="6"/>
      <c r="S165" s="6"/>
      <c r="T165" s="6"/>
      <c r="U165" s="831" t="s">
        <v>3141</v>
      </c>
      <c r="V165" s="836"/>
    </row>
    <row r="166" spans="2:22" s="829" customFormat="1" ht="63.75">
      <c r="B166" s="830" t="s">
        <v>2779</v>
      </c>
      <c r="C166" s="830" t="s">
        <v>3142</v>
      </c>
      <c r="D166" s="830" t="s">
        <v>2142</v>
      </c>
      <c r="E166" s="6" t="s">
        <v>414</v>
      </c>
      <c r="F166" s="831" t="s">
        <v>3143</v>
      </c>
      <c r="G166" s="831"/>
      <c r="H166" s="832" t="s">
        <v>2985</v>
      </c>
      <c r="I166" s="831" t="s">
        <v>2985</v>
      </c>
      <c r="J166" s="8">
        <v>9.4478050000000007</v>
      </c>
      <c r="K166" s="7">
        <v>10.323871614235001</v>
      </c>
      <c r="L166" s="6" t="s">
        <v>2950</v>
      </c>
      <c r="M166" s="833" t="s">
        <v>2951</v>
      </c>
      <c r="N166" s="833" t="s">
        <v>2951</v>
      </c>
      <c r="O166" s="834"/>
      <c r="P166" s="835"/>
      <c r="Q166" s="6"/>
      <c r="R166" s="6"/>
      <c r="S166" s="6"/>
      <c r="T166" s="6"/>
      <c r="U166" s="831" t="s">
        <v>3144</v>
      </c>
      <c r="V166" s="836"/>
    </row>
    <row r="167" spans="2:22" s="816" customFormat="1">
      <c r="B167" s="827"/>
      <c r="C167" s="827" t="s">
        <v>3145</v>
      </c>
      <c r="D167" s="827"/>
      <c r="E167" s="827"/>
      <c r="F167" s="827"/>
      <c r="G167" s="827"/>
      <c r="H167" s="827"/>
      <c r="I167" s="827"/>
      <c r="J167" s="827"/>
      <c r="K167" s="827"/>
      <c r="L167" s="827"/>
      <c r="M167" s="827"/>
      <c r="N167" s="827"/>
      <c r="O167" s="847"/>
      <c r="P167" s="847"/>
      <c r="Q167" s="847"/>
      <c r="R167" s="847"/>
      <c r="S167" s="847"/>
      <c r="T167" s="847"/>
      <c r="U167" s="847"/>
      <c r="V167" s="847"/>
    </row>
    <row r="168" spans="2:22" s="829" customFormat="1" ht="38.25">
      <c r="B168" s="830"/>
      <c r="C168" s="830">
        <v>6.01</v>
      </c>
      <c r="D168" s="830" t="s">
        <v>3146</v>
      </c>
      <c r="E168" s="7" t="s">
        <v>1031</v>
      </c>
      <c r="F168" s="831" t="s">
        <v>3147</v>
      </c>
      <c r="G168" s="831"/>
      <c r="H168" s="832" t="s">
        <v>3148</v>
      </c>
      <c r="I168" s="831" t="s">
        <v>2985</v>
      </c>
      <c r="J168" s="7">
        <v>1.93</v>
      </c>
      <c r="K168" s="6">
        <v>2.1089631099999999</v>
      </c>
      <c r="L168" s="7">
        <v>1.93</v>
      </c>
      <c r="M168" s="833">
        <v>0</v>
      </c>
      <c r="N168" s="833">
        <v>-8.4858340646840419E-2</v>
      </c>
      <c r="O168" s="834"/>
      <c r="P168" s="835"/>
      <c r="Q168" s="6"/>
      <c r="R168" s="6"/>
      <c r="S168" s="6"/>
      <c r="T168" s="6"/>
      <c r="U168" s="831" t="s">
        <v>3149</v>
      </c>
      <c r="V168" s="836"/>
    </row>
    <row r="169" spans="2:22" s="829" customFormat="1" ht="76.5">
      <c r="B169" s="830"/>
      <c r="C169" s="830">
        <v>6.02</v>
      </c>
      <c r="D169" s="830" t="s">
        <v>3146</v>
      </c>
      <c r="E169" s="7" t="s">
        <v>1031</v>
      </c>
      <c r="F169" s="831" t="s">
        <v>3150</v>
      </c>
      <c r="G169" s="831"/>
      <c r="H169" s="832" t="s">
        <v>2985</v>
      </c>
      <c r="I169" s="831" t="s">
        <v>2985</v>
      </c>
      <c r="J169" s="7">
        <v>0.95</v>
      </c>
      <c r="K169" s="7">
        <v>1.03809065</v>
      </c>
      <c r="L169" s="14">
        <v>2.0944686887236443</v>
      </c>
      <c r="M169" s="833">
        <v>1.204703882866994</v>
      </c>
      <c r="N169" s="833">
        <v>1.0176163697492548</v>
      </c>
      <c r="O169" s="834"/>
      <c r="P169" s="835" t="s">
        <v>2943</v>
      </c>
      <c r="Q169" s="6"/>
      <c r="R169" s="6"/>
      <c r="S169" s="6"/>
      <c r="T169" s="6"/>
      <c r="U169" s="831" t="s">
        <v>3151</v>
      </c>
      <c r="V169" s="850" t="s">
        <v>1753</v>
      </c>
    </row>
    <row r="170" spans="2:22" s="829" customFormat="1" ht="38.25">
      <c r="B170" s="830"/>
      <c r="C170" s="830">
        <v>6.03</v>
      </c>
      <c r="D170" s="830" t="s">
        <v>3146</v>
      </c>
      <c r="E170" s="7" t="s">
        <v>1031</v>
      </c>
      <c r="F170" s="831" t="s">
        <v>3152</v>
      </c>
      <c r="G170" s="831"/>
      <c r="H170" s="832" t="s">
        <v>211</v>
      </c>
      <c r="I170" s="7"/>
      <c r="J170" s="7">
        <v>90</v>
      </c>
      <c r="K170" s="6">
        <v>98.345429999999993</v>
      </c>
      <c r="L170" s="7">
        <v>55.316263053565095</v>
      </c>
      <c r="M170" s="833">
        <v>-0.38537485496038781</v>
      </c>
      <c r="N170" s="833">
        <v>-0.43753092488827289</v>
      </c>
      <c r="O170" s="834"/>
      <c r="P170" s="835" t="s">
        <v>3153</v>
      </c>
      <c r="Q170" s="6"/>
      <c r="R170" s="6"/>
      <c r="S170" s="6"/>
      <c r="T170" s="6"/>
      <c r="U170" s="831" t="s">
        <v>3154</v>
      </c>
      <c r="V170" s="836"/>
    </row>
    <row r="171" spans="2:22" s="816" customFormat="1">
      <c r="B171" s="827"/>
      <c r="C171" s="827" t="s">
        <v>3155</v>
      </c>
      <c r="D171" s="827"/>
      <c r="E171" s="827"/>
      <c r="F171" s="827"/>
      <c r="G171" s="827"/>
      <c r="H171" s="827"/>
      <c r="I171" s="827"/>
      <c r="J171" s="827"/>
      <c r="K171" s="827"/>
      <c r="L171" s="827"/>
      <c r="M171" s="827"/>
      <c r="N171" s="827"/>
      <c r="O171" s="847"/>
      <c r="P171" s="847"/>
      <c r="Q171" s="847"/>
      <c r="R171" s="847"/>
      <c r="S171" s="847"/>
      <c r="T171" s="847"/>
      <c r="U171" s="847"/>
      <c r="V171" s="847"/>
    </row>
    <row r="172" spans="2:22" s="829" customFormat="1" ht="60">
      <c r="B172" s="830" t="s">
        <v>2924</v>
      </c>
      <c r="C172" s="830" t="s">
        <v>3156</v>
      </c>
      <c r="D172" s="830" t="s">
        <v>2924</v>
      </c>
      <c r="E172" s="851" t="s">
        <v>2924</v>
      </c>
      <c r="F172" s="852" t="s">
        <v>3157</v>
      </c>
      <c r="G172" s="852"/>
      <c r="H172" s="11" t="s">
        <v>219</v>
      </c>
      <c r="I172" s="851" t="s">
        <v>2924</v>
      </c>
      <c r="J172" s="6" t="s">
        <v>2783</v>
      </c>
      <c r="K172" s="6" t="s">
        <v>2986</v>
      </c>
      <c r="L172" s="851" t="s">
        <v>2924</v>
      </c>
      <c r="M172" s="833" t="s">
        <v>2810</v>
      </c>
      <c r="N172" s="833" t="s">
        <v>2968</v>
      </c>
      <c r="O172" s="834"/>
      <c r="P172" s="835"/>
      <c r="Q172" s="6"/>
      <c r="R172" s="6"/>
      <c r="S172" s="6"/>
      <c r="T172" s="6"/>
      <c r="U172" s="831" t="s">
        <v>3158</v>
      </c>
      <c r="V172" s="836"/>
    </row>
    <row r="173" spans="2:22" s="829" customFormat="1" ht="60">
      <c r="B173" s="830" t="s">
        <v>2779</v>
      </c>
      <c r="C173" s="830" t="s">
        <v>3159</v>
      </c>
      <c r="D173" s="830" t="s">
        <v>2924</v>
      </c>
      <c r="E173" s="851" t="s">
        <v>2924</v>
      </c>
      <c r="F173" s="852" t="s">
        <v>3160</v>
      </c>
      <c r="G173" s="852"/>
      <c r="H173" s="11" t="s">
        <v>219</v>
      </c>
      <c r="I173" s="851" t="s">
        <v>2924</v>
      </c>
      <c r="J173" s="9">
        <v>0.79812499999999997</v>
      </c>
      <c r="K173" s="7">
        <v>0.87213273687499993</v>
      </c>
      <c r="L173" s="851">
        <v>0.28750881456109856</v>
      </c>
      <c r="M173" s="833">
        <v>-0.63976969201428524</v>
      </c>
      <c r="N173" s="833">
        <v>-0.6703382382006533</v>
      </c>
      <c r="O173" s="853">
        <v>0.25</v>
      </c>
      <c r="P173" s="835"/>
      <c r="Q173" s="6"/>
      <c r="R173" s="6"/>
      <c r="S173" s="6"/>
      <c r="T173" s="6"/>
      <c r="U173" s="831" t="s">
        <v>3161</v>
      </c>
      <c r="V173" s="836"/>
    </row>
    <row r="174" spans="2:22" s="829" customFormat="1" ht="60">
      <c r="B174" s="830" t="s">
        <v>2779</v>
      </c>
      <c r="C174" s="830" t="s">
        <v>3162</v>
      </c>
      <c r="D174" s="830" t="s">
        <v>2924</v>
      </c>
      <c r="E174" s="851" t="s">
        <v>2924</v>
      </c>
      <c r="F174" s="852" t="s">
        <v>3163</v>
      </c>
      <c r="G174" s="852"/>
      <c r="H174" s="11" t="s">
        <v>219</v>
      </c>
      <c r="I174" s="851" t="s">
        <v>2924</v>
      </c>
      <c r="J174" s="9">
        <v>1.19</v>
      </c>
      <c r="K174" s="7">
        <v>1.30034513</v>
      </c>
      <c r="L174" s="851">
        <v>0.57501762912219712</v>
      </c>
      <c r="M174" s="833">
        <v>-0.51679190830067467</v>
      </c>
      <c r="N174" s="833">
        <v>-0.55779614514940579</v>
      </c>
      <c r="O174" s="853">
        <v>0.46</v>
      </c>
      <c r="P174" s="835"/>
      <c r="Q174" s="6"/>
      <c r="R174" s="6"/>
      <c r="S174" s="6"/>
      <c r="T174" s="6"/>
      <c r="U174" s="831" t="s">
        <v>3164</v>
      </c>
      <c r="V174" s="836"/>
    </row>
    <row r="175" spans="2:22" s="829" customFormat="1" ht="60">
      <c r="B175" s="830" t="s">
        <v>2779</v>
      </c>
      <c r="C175" s="830" t="s">
        <v>3165</v>
      </c>
      <c r="D175" s="830" t="s">
        <v>2924</v>
      </c>
      <c r="E175" s="851" t="s">
        <v>2924</v>
      </c>
      <c r="F175" s="852" t="s">
        <v>3166</v>
      </c>
      <c r="G175" s="852"/>
      <c r="H175" s="11" t="s">
        <v>219</v>
      </c>
      <c r="I175" s="851" t="s">
        <v>2924</v>
      </c>
      <c r="J175" s="9">
        <v>1.4216166666666665</v>
      </c>
      <c r="K175" s="7">
        <v>1.5534389153166666</v>
      </c>
      <c r="L175" s="851">
        <v>0.61609031691663985</v>
      </c>
      <c r="M175" s="833">
        <v>-0.5666269738091797</v>
      </c>
      <c r="N175" s="833">
        <v>-0.60340228969283249</v>
      </c>
      <c r="O175" s="853">
        <v>0.65</v>
      </c>
      <c r="P175" s="835"/>
      <c r="Q175" s="6"/>
      <c r="R175" s="6"/>
      <c r="S175" s="6"/>
      <c r="T175" s="6"/>
      <c r="U175" s="831" t="s">
        <v>3167</v>
      </c>
      <c r="V175" s="836"/>
    </row>
    <row r="176" spans="2:22" s="829" customFormat="1" ht="60">
      <c r="B176" s="830" t="s">
        <v>2779</v>
      </c>
      <c r="C176" s="830" t="s">
        <v>3168</v>
      </c>
      <c r="D176" s="830" t="s">
        <v>2924</v>
      </c>
      <c r="E176" s="851" t="s">
        <v>2924</v>
      </c>
      <c r="F176" s="852" t="s">
        <v>3169</v>
      </c>
      <c r="G176" s="852"/>
      <c r="H176" s="11" t="s">
        <v>219</v>
      </c>
      <c r="I176" s="851" t="s">
        <v>2924</v>
      </c>
      <c r="J176" s="9">
        <v>1.8891583333333333</v>
      </c>
      <c r="K176" s="7">
        <v>2.0643343181083331</v>
      </c>
      <c r="L176" s="851">
        <v>1.2553583526021301</v>
      </c>
      <c r="M176" s="833">
        <v>-0.33549330913565734</v>
      </c>
      <c r="N176" s="833">
        <v>-0.39188224427112833</v>
      </c>
      <c r="O176" s="853">
        <v>1.1100000000000001</v>
      </c>
      <c r="P176" s="835"/>
      <c r="Q176" s="6"/>
      <c r="R176" s="6"/>
      <c r="S176" s="6"/>
      <c r="T176" s="6"/>
      <c r="U176" s="831" t="s">
        <v>3170</v>
      </c>
      <c r="V176" s="836"/>
    </row>
    <row r="177" spans="2:22" s="829" customFormat="1" ht="180" outlineLevel="1">
      <c r="B177" s="830" t="s">
        <v>3171</v>
      </c>
      <c r="C177" s="830"/>
      <c r="D177" s="830" t="s">
        <v>3172</v>
      </c>
      <c r="E177" s="851" t="s">
        <v>3173</v>
      </c>
      <c r="F177" s="852"/>
      <c r="G177" s="852" t="s">
        <v>3174</v>
      </c>
      <c r="H177" s="11"/>
      <c r="I177" s="851" t="s">
        <v>299</v>
      </c>
      <c r="J177" s="851" t="s">
        <v>2783</v>
      </c>
      <c r="K177" s="6" t="s">
        <v>2783</v>
      </c>
      <c r="L177" s="9">
        <v>213.09749999999997</v>
      </c>
      <c r="M177" s="833" t="s">
        <v>2810</v>
      </c>
      <c r="N177" s="833" t="s">
        <v>2810</v>
      </c>
      <c r="O177" s="834"/>
      <c r="P177" s="835"/>
      <c r="Q177" s="6"/>
      <c r="R177" s="6"/>
      <c r="S177" s="6"/>
      <c r="T177" s="6"/>
      <c r="U177" s="831"/>
      <c r="V177" s="836"/>
    </row>
    <row r="178" spans="2:22" s="829" customFormat="1" ht="180" outlineLevel="1">
      <c r="B178" s="830" t="s">
        <v>3171</v>
      </c>
      <c r="C178" s="830"/>
      <c r="D178" s="830" t="s">
        <v>3172</v>
      </c>
      <c r="E178" s="851" t="s">
        <v>3173</v>
      </c>
      <c r="F178" s="852"/>
      <c r="G178" s="852" t="s">
        <v>3175</v>
      </c>
      <c r="H178" s="11"/>
      <c r="I178" s="851" t="s">
        <v>299</v>
      </c>
      <c r="J178" s="851" t="s">
        <v>2783</v>
      </c>
      <c r="K178" s="6" t="s">
        <v>2783</v>
      </c>
      <c r="L178" s="9">
        <v>280.88279999999992</v>
      </c>
      <c r="M178" s="833" t="s">
        <v>2810</v>
      </c>
      <c r="N178" s="833" t="s">
        <v>2810</v>
      </c>
      <c r="O178" s="834"/>
      <c r="P178" s="835"/>
      <c r="Q178" s="6"/>
      <c r="R178" s="6"/>
      <c r="S178" s="6"/>
      <c r="T178" s="6"/>
      <c r="U178" s="831"/>
      <c r="V178" s="836"/>
    </row>
    <row r="179" spans="2:22" s="829" customFormat="1" ht="180" outlineLevel="1">
      <c r="B179" s="830" t="s">
        <v>3171</v>
      </c>
      <c r="C179" s="830"/>
      <c r="D179" s="830" t="s">
        <v>3172</v>
      </c>
      <c r="E179" s="851" t="s">
        <v>3173</v>
      </c>
      <c r="F179" s="852"/>
      <c r="G179" s="852" t="s">
        <v>3176</v>
      </c>
      <c r="H179" s="11"/>
      <c r="I179" s="851" t="s">
        <v>299</v>
      </c>
      <c r="J179" s="851" t="s">
        <v>2783</v>
      </c>
      <c r="K179" s="6" t="s">
        <v>2783</v>
      </c>
      <c r="L179" s="9">
        <v>359.20919999999995</v>
      </c>
      <c r="M179" s="833" t="s">
        <v>2810</v>
      </c>
      <c r="N179" s="833" t="s">
        <v>2810</v>
      </c>
      <c r="O179" s="834"/>
      <c r="P179" s="835"/>
      <c r="Q179" s="6"/>
      <c r="R179" s="6"/>
      <c r="S179" s="6"/>
      <c r="T179" s="6"/>
      <c r="U179" s="831"/>
      <c r="V179" s="836"/>
    </row>
    <row r="180" spans="2:22" s="829" customFormat="1" ht="180" outlineLevel="1">
      <c r="B180" s="830" t="s">
        <v>3171</v>
      </c>
      <c r="C180" s="830"/>
      <c r="D180" s="830" t="s">
        <v>3172</v>
      </c>
      <c r="E180" s="851" t="s">
        <v>3173</v>
      </c>
      <c r="F180" s="852"/>
      <c r="G180" s="852" t="s">
        <v>3177</v>
      </c>
      <c r="H180" s="11"/>
      <c r="I180" s="851" t="s">
        <v>299</v>
      </c>
      <c r="J180" s="851" t="s">
        <v>2783</v>
      </c>
      <c r="K180" s="6" t="s">
        <v>2783</v>
      </c>
      <c r="L180" s="9">
        <v>205.9967956054017</v>
      </c>
      <c r="M180" s="833" t="s">
        <v>2810</v>
      </c>
      <c r="N180" s="833" t="s">
        <v>2810</v>
      </c>
      <c r="O180" s="834"/>
      <c r="P180" s="835"/>
      <c r="Q180" s="6"/>
      <c r="R180" s="6"/>
      <c r="S180" s="6"/>
      <c r="T180" s="6"/>
      <c r="U180" s="831"/>
      <c r="V180" s="836"/>
    </row>
    <row r="181" spans="2:22" s="829" customFormat="1" ht="180" outlineLevel="1">
      <c r="B181" s="830" t="s">
        <v>2809</v>
      </c>
      <c r="C181" s="830"/>
      <c r="D181" s="830" t="s">
        <v>3172</v>
      </c>
      <c r="E181" s="851" t="s">
        <v>3173</v>
      </c>
      <c r="F181" s="852"/>
      <c r="G181" s="852" t="s">
        <v>3177</v>
      </c>
      <c r="H181" s="11"/>
      <c r="I181" s="851" t="s">
        <v>299</v>
      </c>
      <c r="J181" s="851" t="s">
        <v>2783</v>
      </c>
      <c r="K181" s="6" t="s">
        <v>2783</v>
      </c>
      <c r="L181" s="9">
        <v>241.70290684367134</v>
      </c>
      <c r="M181" s="833" t="s">
        <v>2810</v>
      </c>
      <c r="N181" s="833" t="s">
        <v>2810</v>
      </c>
      <c r="O181" s="834"/>
      <c r="P181" s="835"/>
      <c r="Q181" s="6"/>
      <c r="R181" s="6"/>
      <c r="S181" s="6"/>
      <c r="T181" s="6"/>
      <c r="U181" s="831"/>
      <c r="V181" s="836"/>
    </row>
    <row r="182" spans="2:22" s="829" customFormat="1" ht="180" outlineLevel="1">
      <c r="B182" s="830" t="s">
        <v>2809</v>
      </c>
      <c r="C182" s="830"/>
      <c r="D182" s="830" t="s">
        <v>3172</v>
      </c>
      <c r="E182" s="851" t="s">
        <v>3173</v>
      </c>
      <c r="F182" s="852"/>
      <c r="G182" s="852" t="s">
        <v>3177</v>
      </c>
      <c r="H182" s="11"/>
      <c r="I182" s="851" t="s">
        <v>299</v>
      </c>
      <c r="J182" s="851" t="s">
        <v>2783</v>
      </c>
      <c r="K182" s="6" t="s">
        <v>2783</v>
      </c>
      <c r="L182" s="9">
        <v>247.05882352941177</v>
      </c>
      <c r="M182" s="833" t="s">
        <v>2810</v>
      </c>
      <c r="N182" s="833" t="s">
        <v>2810</v>
      </c>
      <c r="O182" s="834"/>
      <c r="P182" s="835"/>
      <c r="Q182" s="6"/>
      <c r="R182" s="6"/>
      <c r="S182" s="6"/>
      <c r="T182" s="6"/>
      <c r="U182" s="831"/>
      <c r="V182" s="836"/>
    </row>
    <row r="183" spans="2:22" s="829" customFormat="1" ht="180" outlineLevel="1">
      <c r="B183" s="830" t="s">
        <v>2809</v>
      </c>
      <c r="C183" s="830"/>
      <c r="D183" s="830" t="s">
        <v>3172</v>
      </c>
      <c r="E183" s="851" t="s">
        <v>3173</v>
      </c>
      <c r="F183" s="852"/>
      <c r="G183" s="852" t="s">
        <v>3178</v>
      </c>
      <c r="H183" s="11"/>
      <c r="I183" s="9" t="s">
        <v>299</v>
      </c>
      <c r="J183" s="851" t="s">
        <v>2783</v>
      </c>
      <c r="K183" s="6" t="s">
        <v>2783</v>
      </c>
      <c r="L183" s="9">
        <v>740.19589522735362</v>
      </c>
      <c r="M183" s="833" t="s">
        <v>2810</v>
      </c>
      <c r="N183" s="833" t="s">
        <v>2810</v>
      </c>
      <c r="O183" s="834"/>
      <c r="P183" s="835"/>
      <c r="Q183" s="6"/>
      <c r="R183" s="6"/>
      <c r="S183" s="6"/>
      <c r="T183" s="6"/>
      <c r="U183" s="831"/>
      <c r="V183" s="836"/>
    </row>
    <row r="184" spans="2:22" s="829" customFormat="1" ht="180" outlineLevel="1">
      <c r="B184" s="830" t="s">
        <v>2809</v>
      </c>
      <c r="C184" s="830"/>
      <c r="D184" s="830" t="s">
        <v>3172</v>
      </c>
      <c r="E184" s="851" t="s">
        <v>3173</v>
      </c>
      <c r="F184" s="852"/>
      <c r="G184" s="852" t="s">
        <v>3179</v>
      </c>
      <c r="H184" s="11"/>
      <c r="I184" s="9" t="s">
        <v>299</v>
      </c>
      <c r="J184" s="851" t="s">
        <v>2783</v>
      </c>
      <c r="K184" s="6" t="s">
        <v>2783</v>
      </c>
      <c r="L184" s="9">
        <v>790.37866778514024</v>
      </c>
      <c r="M184" s="833" t="s">
        <v>2810</v>
      </c>
      <c r="N184" s="833" t="s">
        <v>2810</v>
      </c>
      <c r="O184" s="834"/>
      <c r="P184" s="835"/>
      <c r="Q184" s="6"/>
      <c r="R184" s="6"/>
      <c r="S184" s="6"/>
      <c r="T184" s="6"/>
      <c r="U184" s="831"/>
      <c r="V184" s="836"/>
    </row>
    <row r="185" spans="2:22" s="829" customFormat="1" ht="180" outlineLevel="1">
      <c r="B185" s="830" t="s">
        <v>2809</v>
      </c>
      <c r="C185" s="830"/>
      <c r="D185" s="830" t="s">
        <v>3172</v>
      </c>
      <c r="E185" s="851" t="s">
        <v>3173</v>
      </c>
      <c r="F185" s="852"/>
      <c r="G185" s="852" t="s">
        <v>3180</v>
      </c>
      <c r="H185" s="11"/>
      <c r="I185" s="9" t="s">
        <v>299</v>
      </c>
      <c r="J185" s="851" t="s">
        <v>2783</v>
      </c>
      <c r="K185" s="6" t="s">
        <v>2783</v>
      </c>
      <c r="L185" s="9">
        <v>707.60769231635197</v>
      </c>
      <c r="M185" s="833" t="s">
        <v>2810</v>
      </c>
      <c r="N185" s="833" t="s">
        <v>2810</v>
      </c>
      <c r="O185" s="834"/>
      <c r="P185" s="835"/>
      <c r="Q185" s="6"/>
      <c r="R185" s="6"/>
      <c r="S185" s="6"/>
      <c r="T185" s="6"/>
      <c r="U185" s="831"/>
      <c r="V185" s="836"/>
    </row>
    <row r="186" spans="2:22" s="829" customFormat="1" ht="180" outlineLevel="1">
      <c r="B186" s="830" t="s">
        <v>2809</v>
      </c>
      <c r="C186" s="830"/>
      <c r="D186" s="830" t="s">
        <v>3172</v>
      </c>
      <c r="E186" s="851" t="s">
        <v>3173</v>
      </c>
      <c r="F186" s="852"/>
      <c r="G186" s="852" t="s">
        <v>3181</v>
      </c>
      <c r="H186" s="11"/>
      <c r="I186" s="9" t="s">
        <v>299</v>
      </c>
      <c r="J186" s="851" t="s">
        <v>2783</v>
      </c>
      <c r="K186" s="6" t="s">
        <v>2783</v>
      </c>
      <c r="L186" s="9">
        <v>784.37760832848994</v>
      </c>
      <c r="M186" s="833" t="s">
        <v>2810</v>
      </c>
      <c r="N186" s="833" t="s">
        <v>2810</v>
      </c>
      <c r="O186" s="834"/>
      <c r="P186" s="835"/>
      <c r="Q186" s="6"/>
      <c r="R186" s="6"/>
      <c r="S186" s="6"/>
      <c r="T186" s="6"/>
      <c r="U186" s="831"/>
      <c r="V186" s="836"/>
    </row>
    <row r="187" spans="2:22" s="829" customFormat="1" ht="180" outlineLevel="1">
      <c r="B187" s="830" t="s">
        <v>2809</v>
      </c>
      <c r="C187" s="830"/>
      <c r="D187" s="830" t="s">
        <v>3172</v>
      </c>
      <c r="E187" s="851" t="s">
        <v>3173</v>
      </c>
      <c r="F187" s="852"/>
      <c r="G187" s="852" t="s">
        <v>3182</v>
      </c>
      <c r="H187" s="11"/>
      <c r="I187" s="9" t="s">
        <v>299</v>
      </c>
      <c r="J187" s="851" t="s">
        <v>2783</v>
      </c>
      <c r="K187" s="6" t="s">
        <v>2783</v>
      </c>
      <c r="L187" s="9">
        <v>555.14692142051524</v>
      </c>
      <c r="M187" s="833" t="s">
        <v>2810</v>
      </c>
      <c r="N187" s="833" t="s">
        <v>2810</v>
      </c>
      <c r="O187" s="834"/>
      <c r="P187" s="835"/>
      <c r="Q187" s="6"/>
      <c r="R187" s="6"/>
      <c r="S187" s="6"/>
      <c r="T187" s="6"/>
      <c r="U187" s="831"/>
      <c r="V187" s="836"/>
    </row>
    <row r="188" spans="2:22" s="829" customFormat="1" ht="180" outlineLevel="1">
      <c r="B188" s="830" t="s">
        <v>2809</v>
      </c>
      <c r="C188" s="830"/>
      <c r="D188" s="830" t="s">
        <v>3172</v>
      </c>
      <c r="E188" s="851" t="s">
        <v>3173</v>
      </c>
      <c r="F188" s="852"/>
      <c r="G188" s="852" t="s">
        <v>3183</v>
      </c>
      <c r="H188" s="11"/>
      <c r="I188" s="9" t="s">
        <v>299</v>
      </c>
      <c r="J188" s="851" t="s">
        <v>2783</v>
      </c>
      <c r="K188" s="6" t="s">
        <v>2783</v>
      </c>
      <c r="L188" s="9">
        <v>1124.2076877014456</v>
      </c>
      <c r="M188" s="833" t="s">
        <v>2810</v>
      </c>
      <c r="N188" s="833" t="s">
        <v>2810</v>
      </c>
      <c r="O188" s="834"/>
      <c r="P188" s="835"/>
      <c r="Q188" s="6"/>
      <c r="R188" s="6"/>
      <c r="S188" s="6"/>
      <c r="T188" s="6"/>
      <c r="U188" s="831"/>
      <c r="V188" s="836"/>
    </row>
    <row r="189" spans="2:22" s="829" customFormat="1" ht="180" outlineLevel="1">
      <c r="B189" s="830" t="s">
        <v>2809</v>
      </c>
      <c r="C189" s="830"/>
      <c r="D189" s="830" t="s">
        <v>3172</v>
      </c>
      <c r="E189" s="851" t="s">
        <v>3173</v>
      </c>
      <c r="F189" s="852" t="s">
        <v>3184</v>
      </c>
      <c r="G189" s="852"/>
      <c r="H189" s="11"/>
      <c r="I189" s="11" t="s">
        <v>219</v>
      </c>
      <c r="J189" s="851" t="s">
        <v>2783</v>
      </c>
      <c r="K189" s="6" t="s">
        <v>2783</v>
      </c>
      <c r="L189" s="851">
        <v>0.82325581395348835</v>
      </c>
      <c r="M189" s="833" t="s">
        <v>2810</v>
      </c>
      <c r="N189" s="833" t="s">
        <v>2810</v>
      </c>
      <c r="O189" s="834"/>
      <c r="P189" s="835"/>
      <c r="Q189" s="6"/>
      <c r="R189" s="6"/>
      <c r="S189" s="6"/>
      <c r="T189" s="6"/>
      <c r="U189" s="831"/>
      <c r="V189" s="836"/>
    </row>
    <row r="190" spans="2:22" s="829" customFormat="1" ht="180" outlineLevel="1">
      <c r="B190" s="830" t="s">
        <v>2809</v>
      </c>
      <c r="C190" s="830"/>
      <c r="D190" s="830" t="s">
        <v>3172</v>
      </c>
      <c r="E190" s="851" t="s">
        <v>3173</v>
      </c>
      <c r="F190" s="852"/>
      <c r="G190" s="852"/>
      <c r="H190" s="11"/>
      <c r="I190" s="11" t="s">
        <v>219</v>
      </c>
      <c r="J190" s="851" t="s">
        <v>2783</v>
      </c>
      <c r="K190" s="6" t="s">
        <v>2783</v>
      </c>
      <c r="L190" s="851">
        <v>0.82325581395348835</v>
      </c>
      <c r="M190" s="833" t="s">
        <v>2810</v>
      </c>
      <c r="N190" s="833" t="s">
        <v>2810</v>
      </c>
      <c r="O190" s="834"/>
      <c r="P190" s="835"/>
      <c r="Q190" s="6"/>
      <c r="R190" s="6"/>
      <c r="S190" s="6"/>
      <c r="T190" s="6"/>
      <c r="U190" s="831"/>
      <c r="V190" s="836"/>
    </row>
    <row r="191" spans="2:22" s="829" customFormat="1" ht="180" outlineLevel="1">
      <c r="B191" s="830" t="s">
        <v>2809</v>
      </c>
      <c r="C191" s="830"/>
      <c r="D191" s="830" t="s">
        <v>3172</v>
      </c>
      <c r="E191" s="851" t="s">
        <v>3173</v>
      </c>
      <c r="F191" s="852"/>
      <c r="G191" s="852"/>
      <c r="H191" s="11"/>
      <c r="I191" s="11" t="s">
        <v>219</v>
      </c>
      <c r="J191" s="851" t="s">
        <v>2783</v>
      </c>
      <c r="K191" s="6" t="s">
        <v>2783</v>
      </c>
      <c r="L191" s="851">
        <v>1.8084243133374003</v>
      </c>
      <c r="M191" s="833" t="s">
        <v>2810</v>
      </c>
      <c r="N191" s="833" t="s">
        <v>2810</v>
      </c>
      <c r="O191" s="834"/>
      <c r="P191" s="835"/>
      <c r="Q191" s="6"/>
      <c r="R191" s="6"/>
      <c r="S191" s="6"/>
      <c r="T191" s="6"/>
      <c r="U191" s="831"/>
      <c r="V191" s="836"/>
    </row>
    <row r="192" spans="2:22" s="829" customFormat="1" ht="180" outlineLevel="1">
      <c r="B192" s="830" t="s">
        <v>2809</v>
      </c>
      <c r="C192" s="830"/>
      <c r="D192" s="830" t="s">
        <v>3172</v>
      </c>
      <c r="E192" s="851" t="s">
        <v>3173</v>
      </c>
      <c r="F192" s="852"/>
      <c r="G192" s="852"/>
      <c r="H192" s="11"/>
      <c r="I192" s="11" t="s">
        <v>219</v>
      </c>
      <c r="J192" s="851" t="s">
        <v>2783</v>
      </c>
      <c r="K192" s="6" t="s">
        <v>2783</v>
      </c>
      <c r="L192" s="851">
        <v>2.0458941726645339</v>
      </c>
      <c r="M192" s="833" t="s">
        <v>2810</v>
      </c>
      <c r="N192" s="833" t="s">
        <v>2810</v>
      </c>
      <c r="O192" s="834"/>
      <c r="P192" s="835"/>
      <c r="Q192" s="6"/>
      <c r="R192" s="6"/>
      <c r="S192" s="6"/>
      <c r="T192" s="6"/>
      <c r="U192" s="831"/>
      <c r="V192" s="836"/>
    </row>
    <row r="193" spans="2:22" s="829" customFormat="1" ht="180" outlineLevel="1">
      <c r="B193" s="830" t="s">
        <v>2809</v>
      </c>
      <c r="C193" s="830"/>
      <c r="D193" s="830" t="s">
        <v>3172</v>
      </c>
      <c r="E193" s="851" t="s">
        <v>3173</v>
      </c>
      <c r="F193" s="852"/>
      <c r="G193" s="852"/>
      <c r="H193" s="11"/>
      <c r="I193" s="11" t="s">
        <v>219</v>
      </c>
      <c r="J193" s="851" t="s">
        <v>2783</v>
      </c>
      <c r="K193" s="6" t="s">
        <v>2783</v>
      </c>
      <c r="L193" s="851">
        <v>2.7745688095039567</v>
      </c>
      <c r="M193" s="833" t="s">
        <v>2810</v>
      </c>
      <c r="N193" s="833" t="s">
        <v>2810</v>
      </c>
      <c r="O193" s="834"/>
      <c r="P193" s="835"/>
      <c r="Q193" s="6"/>
      <c r="R193" s="6"/>
      <c r="S193" s="6"/>
      <c r="T193" s="6"/>
      <c r="U193" s="831"/>
      <c r="V193" s="836"/>
    </row>
    <row r="194" spans="2:22" s="829" customFormat="1" ht="180" outlineLevel="1">
      <c r="B194" s="830" t="s">
        <v>2809</v>
      </c>
      <c r="C194" s="830"/>
      <c r="D194" s="830" t="s">
        <v>3172</v>
      </c>
      <c r="E194" s="851" t="s">
        <v>3173</v>
      </c>
      <c r="F194" s="852"/>
      <c r="G194" s="852"/>
      <c r="H194" s="11"/>
      <c r="I194" s="11" t="s">
        <v>219</v>
      </c>
      <c r="J194" s="851" t="s">
        <v>2783</v>
      </c>
      <c r="K194" s="6" t="s">
        <v>2783</v>
      </c>
      <c r="L194" s="851" t="s">
        <v>1489</v>
      </c>
      <c r="M194" s="833" t="s">
        <v>2810</v>
      </c>
      <c r="N194" s="833" t="s">
        <v>2810</v>
      </c>
      <c r="O194" s="834"/>
      <c r="P194" s="835"/>
      <c r="Q194" s="6"/>
      <c r="R194" s="6"/>
      <c r="S194" s="6"/>
      <c r="T194" s="6"/>
      <c r="U194" s="831"/>
      <c r="V194" s="836"/>
    </row>
    <row r="195" spans="2:22" s="829" customFormat="1" ht="180" outlineLevel="1">
      <c r="B195" s="830" t="s">
        <v>2809</v>
      </c>
      <c r="C195" s="830"/>
      <c r="D195" s="830" t="s">
        <v>3172</v>
      </c>
      <c r="E195" s="851" t="s">
        <v>3173</v>
      </c>
      <c r="F195" s="852"/>
      <c r="G195" s="852"/>
      <c r="H195" s="11"/>
      <c r="I195" s="11" t="s">
        <v>219</v>
      </c>
      <c r="J195" s="851" t="s">
        <v>2783</v>
      </c>
      <c r="K195" s="6" t="s">
        <v>2783</v>
      </c>
      <c r="L195" s="851" t="s">
        <v>1489</v>
      </c>
      <c r="M195" s="833" t="s">
        <v>2810</v>
      </c>
      <c r="N195" s="833" t="s">
        <v>2810</v>
      </c>
      <c r="O195" s="834"/>
      <c r="P195" s="835"/>
      <c r="Q195" s="6"/>
      <c r="R195" s="6"/>
      <c r="S195" s="6"/>
      <c r="T195" s="6"/>
      <c r="U195" s="831"/>
      <c r="V195" s="836"/>
    </row>
    <row r="196" spans="2:22" s="829" customFormat="1" ht="180" outlineLevel="1">
      <c r="B196" s="830" t="s">
        <v>2809</v>
      </c>
      <c r="C196" s="830"/>
      <c r="D196" s="830" t="s">
        <v>3172</v>
      </c>
      <c r="E196" s="851" t="s">
        <v>3173</v>
      </c>
      <c r="F196" s="852"/>
      <c r="G196" s="852"/>
      <c r="H196" s="11"/>
      <c r="I196" s="11" t="s">
        <v>219</v>
      </c>
      <c r="J196" s="851" t="s">
        <v>2783</v>
      </c>
      <c r="K196" s="6" t="s">
        <v>2783</v>
      </c>
      <c r="L196" s="851" t="s">
        <v>1489</v>
      </c>
      <c r="M196" s="833" t="s">
        <v>2810</v>
      </c>
      <c r="N196" s="833" t="s">
        <v>2810</v>
      </c>
      <c r="O196" s="834"/>
      <c r="P196" s="835"/>
      <c r="Q196" s="6"/>
      <c r="R196" s="6"/>
      <c r="S196" s="6"/>
      <c r="T196" s="6"/>
      <c r="U196" s="831"/>
      <c r="V196" s="836"/>
    </row>
    <row r="197" spans="2:22" s="829" customFormat="1" ht="180" outlineLevel="1">
      <c r="B197" s="830" t="s">
        <v>2809</v>
      </c>
      <c r="C197" s="830"/>
      <c r="D197" s="830" t="s">
        <v>3172</v>
      </c>
      <c r="E197" s="851" t="s">
        <v>3173</v>
      </c>
      <c r="F197" s="852"/>
      <c r="G197" s="852"/>
      <c r="H197" s="11"/>
      <c r="I197" s="11" t="s">
        <v>219</v>
      </c>
      <c r="J197" s="851" t="s">
        <v>2783</v>
      </c>
      <c r="K197" s="6" t="s">
        <v>2783</v>
      </c>
      <c r="L197" s="851" t="s">
        <v>1489</v>
      </c>
      <c r="M197" s="833" t="s">
        <v>2810</v>
      </c>
      <c r="N197" s="833" t="s">
        <v>2810</v>
      </c>
      <c r="O197" s="834"/>
      <c r="P197" s="835"/>
      <c r="Q197" s="6"/>
      <c r="R197" s="6"/>
      <c r="S197" s="6"/>
      <c r="T197" s="6"/>
      <c r="U197" s="831"/>
      <c r="V197" s="836"/>
    </row>
    <row r="198" spans="2:22" s="829" customFormat="1" ht="180" outlineLevel="1">
      <c r="B198" s="830" t="s">
        <v>2809</v>
      </c>
      <c r="C198" s="830"/>
      <c r="D198" s="830" t="s">
        <v>3172</v>
      </c>
      <c r="E198" s="851" t="s">
        <v>3173</v>
      </c>
      <c r="F198" s="852"/>
      <c r="G198" s="852"/>
      <c r="H198" s="11"/>
      <c r="I198" s="11" t="s">
        <v>219</v>
      </c>
      <c r="J198" s="851" t="s">
        <v>2783</v>
      </c>
      <c r="K198" s="6" t="s">
        <v>2783</v>
      </c>
      <c r="L198" s="851" t="s">
        <v>1489</v>
      </c>
      <c r="M198" s="833" t="s">
        <v>2810</v>
      </c>
      <c r="N198" s="833" t="s">
        <v>2810</v>
      </c>
      <c r="O198" s="834"/>
      <c r="P198" s="835"/>
      <c r="Q198" s="6"/>
      <c r="R198" s="6"/>
      <c r="S198" s="6"/>
      <c r="T198" s="6"/>
      <c r="U198" s="831"/>
      <c r="V198" s="836"/>
    </row>
    <row r="199" spans="2:22" s="829" customFormat="1" ht="180" outlineLevel="1">
      <c r="B199" s="830" t="s">
        <v>2809</v>
      </c>
      <c r="C199" s="830"/>
      <c r="D199" s="830" t="s">
        <v>3172</v>
      </c>
      <c r="E199" s="851" t="s">
        <v>3173</v>
      </c>
      <c r="F199" s="852"/>
      <c r="G199" s="852"/>
      <c r="H199" s="11"/>
      <c r="I199" s="11" t="s">
        <v>219</v>
      </c>
      <c r="J199" s="851" t="s">
        <v>2783</v>
      </c>
      <c r="K199" s="6" t="s">
        <v>2783</v>
      </c>
      <c r="L199" s="851" t="s">
        <v>1489</v>
      </c>
      <c r="M199" s="833" t="s">
        <v>2810</v>
      </c>
      <c r="N199" s="833" t="s">
        <v>2810</v>
      </c>
      <c r="O199" s="834"/>
      <c r="P199" s="835"/>
      <c r="Q199" s="6"/>
      <c r="R199" s="6"/>
      <c r="S199" s="6"/>
      <c r="T199" s="6"/>
      <c r="U199" s="831"/>
      <c r="V199" s="836"/>
    </row>
    <row r="200" spans="2:22" s="829" customFormat="1" ht="180" outlineLevel="1">
      <c r="B200" s="830" t="s">
        <v>2809</v>
      </c>
      <c r="C200" s="830"/>
      <c r="D200" s="830" t="s">
        <v>3172</v>
      </c>
      <c r="E200" s="851" t="s">
        <v>3173</v>
      </c>
      <c r="F200" s="852"/>
      <c r="G200" s="852"/>
      <c r="H200" s="11"/>
      <c r="I200" s="11" t="s">
        <v>219</v>
      </c>
      <c r="J200" s="851" t="s">
        <v>2783</v>
      </c>
      <c r="K200" s="6" t="s">
        <v>2783</v>
      </c>
      <c r="L200" s="851" t="s">
        <v>1489</v>
      </c>
      <c r="M200" s="833" t="s">
        <v>2810</v>
      </c>
      <c r="N200" s="833" t="s">
        <v>2810</v>
      </c>
      <c r="O200" s="834"/>
      <c r="P200" s="835"/>
      <c r="Q200" s="6"/>
      <c r="R200" s="6"/>
      <c r="S200" s="6"/>
      <c r="T200" s="6"/>
      <c r="U200" s="831"/>
      <c r="V200" s="836"/>
    </row>
    <row r="201" spans="2:22" s="829" customFormat="1" ht="180" outlineLevel="1">
      <c r="B201" s="830" t="s">
        <v>2809</v>
      </c>
      <c r="C201" s="830"/>
      <c r="D201" s="830" t="s">
        <v>3172</v>
      </c>
      <c r="E201" s="851" t="s">
        <v>3173</v>
      </c>
      <c r="F201" s="852"/>
      <c r="G201" s="852"/>
      <c r="H201" s="11"/>
      <c r="I201" s="11" t="s">
        <v>219</v>
      </c>
      <c r="J201" s="851" t="s">
        <v>2783</v>
      </c>
      <c r="K201" s="6" t="s">
        <v>2783</v>
      </c>
      <c r="L201" s="851" t="s">
        <v>1489</v>
      </c>
      <c r="M201" s="833" t="s">
        <v>2810</v>
      </c>
      <c r="N201" s="833" t="s">
        <v>2810</v>
      </c>
      <c r="O201" s="834"/>
      <c r="P201" s="835"/>
      <c r="Q201" s="6"/>
      <c r="R201" s="6"/>
      <c r="S201" s="6"/>
      <c r="T201" s="6"/>
      <c r="U201" s="831"/>
      <c r="V201" s="836"/>
    </row>
    <row r="202" spans="2:22" s="829" customFormat="1" ht="180" outlineLevel="1">
      <c r="B202" s="830" t="s">
        <v>2809</v>
      </c>
      <c r="C202" s="830"/>
      <c r="D202" s="830" t="s">
        <v>3172</v>
      </c>
      <c r="E202" s="851" t="s">
        <v>3173</v>
      </c>
      <c r="F202" s="852"/>
      <c r="G202" s="852"/>
      <c r="H202" s="11"/>
      <c r="I202" s="11" t="s">
        <v>219</v>
      </c>
      <c r="J202" s="851" t="s">
        <v>2783</v>
      </c>
      <c r="K202" s="6" t="s">
        <v>2783</v>
      </c>
      <c r="L202" s="851" t="s">
        <v>1489</v>
      </c>
      <c r="M202" s="833" t="s">
        <v>2810</v>
      </c>
      <c r="N202" s="833" t="s">
        <v>2810</v>
      </c>
      <c r="O202" s="834"/>
      <c r="P202" s="835"/>
      <c r="Q202" s="6"/>
      <c r="R202" s="6"/>
      <c r="S202" s="6"/>
      <c r="T202" s="6"/>
      <c r="U202" s="831"/>
      <c r="V202" s="836"/>
    </row>
    <row r="203" spans="2:22" s="829" customFormat="1" ht="180" outlineLevel="1">
      <c r="B203" s="830" t="s">
        <v>2809</v>
      </c>
      <c r="C203" s="830"/>
      <c r="D203" s="830" t="s">
        <v>3172</v>
      </c>
      <c r="E203" s="851" t="s">
        <v>3173</v>
      </c>
      <c r="F203" s="852"/>
      <c r="G203" s="852"/>
      <c r="H203" s="11"/>
      <c r="I203" s="11" t="s">
        <v>219</v>
      </c>
      <c r="J203" s="851" t="s">
        <v>2783</v>
      </c>
      <c r="K203" s="6" t="s">
        <v>2783</v>
      </c>
      <c r="L203" s="851">
        <v>0.64882586211400151</v>
      </c>
      <c r="M203" s="833" t="s">
        <v>2810</v>
      </c>
      <c r="N203" s="833" t="s">
        <v>2810</v>
      </c>
      <c r="O203" s="834"/>
      <c r="P203" s="835"/>
      <c r="Q203" s="6"/>
      <c r="R203" s="6"/>
      <c r="S203" s="6"/>
      <c r="T203" s="6"/>
      <c r="U203" s="831"/>
      <c r="V203" s="836"/>
    </row>
    <row r="204" spans="2:22" s="829" customFormat="1" ht="180" outlineLevel="1">
      <c r="B204" s="830" t="s">
        <v>2809</v>
      </c>
      <c r="C204" s="830"/>
      <c r="D204" s="830" t="s">
        <v>3172</v>
      </c>
      <c r="E204" s="851" t="s">
        <v>3173</v>
      </c>
      <c r="F204" s="852"/>
      <c r="G204" s="852"/>
      <c r="H204" s="11"/>
      <c r="I204" s="11" t="s">
        <v>219</v>
      </c>
      <c r="J204" s="851" t="s">
        <v>2783</v>
      </c>
      <c r="K204" s="6" t="s">
        <v>2783</v>
      </c>
      <c r="L204" s="851">
        <v>0.64882586211400151</v>
      </c>
      <c r="M204" s="833" t="s">
        <v>2810</v>
      </c>
      <c r="N204" s="833" t="s">
        <v>2810</v>
      </c>
      <c r="O204" s="834"/>
      <c r="P204" s="835"/>
      <c r="Q204" s="6"/>
      <c r="R204" s="6"/>
      <c r="S204" s="6"/>
      <c r="T204" s="6"/>
      <c r="U204" s="831"/>
      <c r="V204" s="836"/>
    </row>
    <row r="205" spans="2:22" s="829" customFormat="1" ht="180" outlineLevel="1">
      <c r="B205" s="830" t="s">
        <v>2809</v>
      </c>
      <c r="C205" s="830"/>
      <c r="D205" s="830" t="s">
        <v>3172</v>
      </c>
      <c r="E205" s="851" t="s">
        <v>3173</v>
      </c>
      <c r="F205" s="852"/>
      <c r="G205" s="852"/>
      <c r="H205" s="11"/>
      <c r="I205" s="11" t="s">
        <v>219</v>
      </c>
      <c r="J205" s="851" t="s">
        <v>2783</v>
      </c>
      <c r="K205" s="6" t="s">
        <v>2783</v>
      </c>
      <c r="L205" s="851">
        <v>1.0813764368566692</v>
      </c>
      <c r="M205" s="833" t="s">
        <v>2810</v>
      </c>
      <c r="N205" s="833" t="s">
        <v>2810</v>
      </c>
      <c r="O205" s="834"/>
      <c r="P205" s="835"/>
      <c r="Q205" s="6"/>
      <c r="R205" s="6"/>
      <c r="S205" s="6"/>
      <c r="T205" s="6"/>
      <c r="U205" s="831"/>
      <c r="V205" s="836"/>
    </row>
    <row r="206" spans="2:22" s="829" customFormat="1" ht="180" outlineLevel="1">
      <c r="B206" s="830" t="s">
        <v>2809</v>
      </c>
      <c r="C206" s="830"/>
      <c r="D206" s="830" t="s">
        <v>3172</v>
      </c>
      <c r="E206" s="851" t="s">
        <v>3173</v>
      </c>
      <c r="F206" s="852"/>
      <c r="G206" s="852"/>
      <c r="H206" s="11"/>
      <c r="I206" s="11" t="s">
        <v>219</v>
      </c>
      <c r="J206" s="851" t="s">
        <v>2783</v>
      </c>
      <c r="K206" s="6" t="s">
        <v>2783</v>
      </c>
      <c r="L206" s="851">
        <v>1.2358587849790506</v>
      </c>
      <c r="M206" s="833" t="s">
        <v>2810</v>
      </c>
      <c r="N206" s="833" t="s">
        <v>2810</v>
      </c>
      <c r="O206" s="834"/>
      <c r="P206" s="835"/>
      <c r="Q206" s="6"/>
      <c r="R206" s="6"/>
      <c r="S206" s="6"/>
      <c r="T206" s="6"/>
      <c r="U206" s="831"/>
      <c r="V206" s="836"/>
    </row>
    <row r="207" spans="2:22" s="829" customFormat="1" ht="180" outlineLevel="1">
      <c r="B207" s="830" t="s">
        <v>2809</v>
      </c>
      <c r="C207" s="830"/>
      <c r="D207" s="830" t="s">
        <v>3172</v>
      </c>
      <c r="E207" s="851" t="s">
        <v>3173</v>
      </c>
      <c r="F207" s="852"/>
      <c r="G207" s="852"/>
      <c r="H207" s="11"/>
      <c r="I207" s="11" t="s">
        <v>219</v>
      </c>
      <c r="J207" s="851" t="s">
        <v>2783</v>
      </c>
      <c r="K207" s="6" t="s">
        <v>2783</v>
      </c>
      <c r="L207" s="851">
        <v>1.7302022989706707</v>
      </c>
      <c r="M207" s="833" t="s">
        <v>2810</v>
      </c>
      <c r="N207" s="833" t="s">
        <v>2810</v>
      </c>
      <c r="O207" s="834"/>
      <c r="P207" s="835"/>
      <c r="Q207" s="6"/>
      <c r="R207" s="6"/>
      <c r="S207" s="6"/>
      <c r="T207" s="6"/>
      <c r="U207" s="831"/>
      <c r="V207" s="836"/>
    </row>
    <row r="208" spans="2:22" s="829" customFormat="1" ht="180" outlineLevel="1">
      <c r="B208" s="830" t="s">
        <v>2809</v>
      </c>
      <c r="C208" s="830"/>
      <c r="D208" s="830" t="s">
        <v>3172</v>
      </c>
      <c r="E208" s="851" t="s">
        <v>3173</v>
      </c>
      <c r="F208" s="852"/>
      <c r="G208" s="852"/>
      <c r="H208" s="11"/>
      <c r="I208" s="11" t="s">
        <v>219</v>
      </c>
      <c r="J208" s="851" t="s">
        <v>2783</v>
      </c>
      <c r="K208" s="6" t="s">
        <v>2783</v>
      </c>
      <c r="L208" s="851" t="s">
        <v>1489</v>
      </c>
      <c r="M208" s="833" t="s">
        <v>2810</v>
      </c>
      <c r="N208" s="833" t="s">
        <v>2810</v>
      </c>
      <c r="O208" s="834"/>
      <c r="P208" s="835"/>
      <c r="Q208" s="6"/>
      <c r="R208" s="6"/>
      <c r="S208" s="6"/>
      <c r="T208" s="6"/>
      <c r="U208" s="831"/>
      <c r="V208" s="836"/>
    </row>
    <row r="209" spans="2:22" s="829" customFormat="1" ht="180" outlineLevel="1">
      <c r="B209" s="830" t="s">
        <v>2809</v>
      </c>
      <c r="C209" s="830"/>
      <c r="D209" s="830" t="s">
        <v>3172</v>
      </c>
      <c r="E209" s="851" t="s">
        <v>3173</v>
      </c>
      <c r="F209" s="852"/>
      <c r="G209" s="852"/>
      <c r="H209" s="11"/>
      <c r="I209" s="11" t="s">
        <v>219</v>
      </c>
      <c r="J209" s="851" t="s">
        <v>2783</v>
      </c>
      <c r="K209" s="6" t="s">
        <v>2783</v>
      </c>
      <c r="L209" s="851" t="s">
        <v>1489</v>
      </c>
      <c r="M209" s="833" t="s">
        <v>2810</v>
      </c>
      <c r="N209" s="833" t="s">
        <v>2810</v>
      </c>
      <c r="O209" s="834"/>
      <c r="P209" s="835"/>
      <c r="Q209" s="6"/>
      <c r="R209" s="6"/>
      <c r="S209" s="6"/>
      <c r="T209" s="6"/>
      <c r="U209" s="831"/>
      <c r="V209" s="836"/>
    </row>
    <row r="210" spans="2:22" s="829" customFormat="1" ht="180" outlineLevel="1">
      <c r="B210" s="830" t="s">
        <v>2809</v>
      </c>
      <c r="C210" s="830"/>
      <c r="D210" s="830" t="s">
        <v>3172</v>
      </c>
      <c r="E210" s="851" t="s">
        <v>3173</v>
      </c>
      <c r="F210" s="852"/>
      <c r="G210" s="852"/>
      <c r="H210" s="11"/>
      <c r="I210" s="11" t="s">
        <v>219</v>
      </c>
      <c r="J210" s="851" t="s">
        <v>2783</v>
      </c>
      <c r="K210" s="6" t="s">
        <v>2783</v>
      </c>
      <c r="L210" s="851" t="s">
        <v>1489</v>
      </c>
      <c r="M210" s="833" t="s">
        <v>2810</v>
      </c>
      <c r="N210" s="833" t="s">
        <v>2810</v>
      </c>
      <c r="O210" s="834"/>
      <c r="P210" s="835"/>
      <c r="Q210" s="6"/>
      <c r="R210" s="6"/>
      <c r="S210" s="6"/>
      <c r="T210" s="6"/>
      <c r="U210" s="831"/>
      <c r="V210" s="836"/>
    </row>
    <row r="211" spans="2:22" s="829" customFormat="1" ht="180" outlineLevel="1">
      <c r="B211" s="830" t="s">
        <v>2809</v>
      </c>
      <c r="C211" s="830"/>
      <c r="D211" s="830" t="s">
        <v>3172</v>
      </c>
      <c r="E211" s="851" t="s">
        <v>3173</v>
      </c>
      <c r="F211" s="852"/>
      <c r="G211" s="852"/>
      <c r="H211" s="11"/>
      <c r="I211" s="11" t="s">
        <v>219</v>
      </c>
      <c r="J211" s="851" t="s">
        <v>2783</v>
      </c>
      <c r="K211" s="6" t="s">
        <v>2783</v>
      </c>
      <c r="L211" s="851" t="s">
        <v>1489</v>
      </c>
      <c r="M211" s="833" t="s">
        <v>2810</v>
      </c>
      <c r="N211" s="833" t="s">
        <v>2810</v>
      </c>
      <c r="O211" s="834"/>
      <c r="P211" s="835"/>
      <c r="Q211" s="6"/>
      <c r="R211" s="6"/>
      <c r="S211" s="6"/>
      <c r="T211" s="6"/>
      <c r="U211" s="831"/>
      <c r="V211" s="836"/>
    </row>
    <row r="212" spans="2:22" s="829" customFormat="1" ht="180" outlineLevel="1">
      <c r="B212" s="830" t="s">
        <v>2809</v>
      </c>
      <c r="C212" s="830"/>
      <c r="D212" s="830" t="s">
        <v>3172</v>
      </c>
      <c r="E212" s="851" t="s">
        <v>3173</v>
      </c>
      <c r="F212" s="852"/>
      <c r="G212" s="852"/>
      <c r="H212" s="11"/>
      <c r="I212" s="11" t="s">
        <v>219</v>
      </c>
      <c r="J212" s="851" t="s">
        <v>2783</v>
      </c>
      <c r="K212" s="6" t="s">
        <v>2783</v>
      </c>
      <c r="L212" s="851" t="s">
        <v>1489</v>
      </c>
      <c r="M212" s="833" t="s">
        <v>2810</v>
      </c>
      <c r="N212" s="833" t="s">
        <v>2810</v>
      </c>
      <c r="O212" s="834"/>
      <c r="P212" s="835"/>
      <c r="Q212" s="6"/>
      <c r="R212" s="6"/>
      <c r="S212" s="6"/>
      <c r="T212" s="6"/>
      <c r="U212" s="831"/>
      <c r="V212" s="836"/>
    </row>
    <row r="213" spans="2:22" s="829" customFormat="1" ht="180" outlineLevel="1">
      <c r="B213" s="830" t="s">
        <v>2809</v>
      </c>
      <c r="C213" s="830"/>
      <c r="D213" s="830" t="s">
        <v>3172</v>
      </c>
      <c r="E213" s="851" t="s">
        <v>3173</v>
      </c>
      <c r="F213" s="852"/>
      <c r="G213" s="852"/>
      <c r="H213" s="11"/>
      <c r="I213" s="11" t="s">
        <v>219</v>
      </c>
      <c r="J213" s="851" t="s">
        <v>2783</v>
      </c>
      <c r="K213" s="6" t="s">
        <v>2783</v>
      </c>
      <c r="L213" s="851" t="s">
        <v>1489</v>
      </c>
      <c r="M213" s="833" t="s">
        <v>2810</v>
      </c>
      <c r="N213" s="833" t="s">
        <v>2810</v>
      </c>
      <c r="O213" s="834"/>
      <c r="P213" s="835"/>
      <c r="Q213" s="6"/>
      <c r="R213" s="6"/>
      <c r="S213" s="6"/>
      <c r="T213" s="6"/>
      <c r="U213" s="831"/>
      <c r="V213" s="836"/>
    </row>
    <row r="214" spans="2:22" s="829" customFormat="1" ht="180" outlineLevel="1">
      <c r="B214" s="830" t="s">
        <v>2809</v>
      </c>
      <c r="C214" s="830"/>
      <c r="D214" s="830" t="s">
        <v>3172</v>
      </c>
      <c r="E214" s="851" t="s">
        <v>3173</v>
      </c>
      <c r="F214" s="852"/>
      <c r="G214" s="852"/>
      <c r="H214" s="11"/>
      <c r="I214" s="11" t="s">
        <v>219</v>
      </c>
      <c r="J214" s="851" t="s">
        <v>2783</v>
      </c>
      <c r="K214" s="6" t="s">
        <v>2783</v>
      </c>
      <c r="L214" s="851" t="s">
        <v>1489</v>
      </c>
      <c r="M214" s="833" t="s">
        <v>2810</v>
      </c>
      <c r="N214" s="833" t="s">
        <v>2810</v>
      </c>
      <c r="O214" s="834"/>
      <c r="P214" s="835"/>
      <c r="Q214" s="6"/>
      <c r="R214" s="6"/>
      <c r="S214" s="6"/>
      <c r="T214" s="6"/>
      <c r="U214" s="831"/>
      <c r="V214" s="836"/>
    </row>
    <row r="215" spans="2:22" s="829" customFormat="1" ht="180" outlineLevel="1">
      <c r="B215" s="830" t="s">
        <v>2809</v>
      </c>
      <c r="C215" s="830"/>
      <c r="D215" s="830" t="s">
        <v>3172</v>
      </c>
      <c r="E215" s="851" t="s">
        <v>3173</v>
      </c>
      <c r="F215" s="852"/>
      <c r="G215" s="852"/>
      <c r="H215" s="11"/>
      <c r="I215" s="11" t="s">
        <v>219</v>
      </c>
      <c r="J215" s="851" t="s">
        <v>2783</v>
      </c>
      <c r="K215" s="6" t="s">
        <v>2783</v>
      </c>
      <c r="L215" s="851" t="s">
        <v>1489</v>
      </c>
      <c r="M215" s="833" t="s">
        <v>2810</v>
      </c>
      <c r="N215" s="833" t="s">
        <v>2810</v>
      </c>
      <c r="O215" s="834"/>
      <c r="P215" s="835"/>
      <c r="Q215" s="6"/>
      <c r="R215" s="6"/>
      <c r="S215" s="6"/>
      <c r="T215" s="6"/>
      <c r="U215" s="831"/>
      <c r="V215" s="836"/>
    </row>
    <row r="216" spans="2:22" s="829" customFormat="1" ht="180" outlineLevel="1">
      <c r="B216" s="830" t="s">
        <v>2809</v>
      </c>
      <c r="C216" s="830"/>
      <c r="D216" s="830" t="s">
        <v>3172</v>
      </c>
      <c r="E216" s="851" t="s">
        <v>3173</v>
      </c>
      <c r="F216" s="852"/>
      <c r="G216" s="852"/>
      <c r="H216" s="11"/>
      <c r="I216" s="11" t="s">
        <v>219</v>
      </c>
      <c r="J216" s="851" t="s">
        <v>2783</v>
      </c>
      <c r="K216" s="6" t="s">
        <v>2783</v>
      </c>
      <c r="L216" s="851" t="s">
        <v>1489</v>
      </c>
      <c r="M216" s="833" t="s">
        <v>2810</v>
      </c>
      <c r="N216" s="833" t="s">
        <v>2810</v>
      </c>
      <c r="O216" s="834"/>
      <c r="P216" s="835"/>
      <c r="Q216" s="6"/>
      <c r="R216" s="6"/>
      <c r="S216" s="6"/>
      <c r="T216" s="6"/>
      <c r="U216" s="831"/>
      <c r="V216" s="836"/>
    </row>
    <row r="217" spans="2:22" s="829" customFormat="1" ht="180" outlineLevel="1">
      <c r="B217" s="830" t="s">
        <v>2809</v>
      </c>
      <c r="C217" s="830"/>
      <c r="D217" s="830" t="s">
        <v>3172</v>
      </c>
      <c r="E217" s="851" t="s">
        <v>3173</v>
      </c>
      <c r="F217" s="852"/>
      <c r="G217" s="852"/>
      <c r="H217" s="11"/>
      <c r="I217" s="11" t="s">
        <v>219</v>
      </c>
      <c r="J217" s="851" t="s">
        <v>2783</v>
      </c>
      <c r="K217" s="6" t="s">
        <v>2783</v>
      </c>
      <c r="L217" s="851">
        <v>0.45363864131175463</v>
      </c>
      <c r="M217" s="833" t="s">
        <v>2810</v>
      </c>
      <c r="N217" s="833" t="s">
        <v>2810</v>
      </c>
      <c r="O217" s="834"/>
      <c r="P217" s="835"/>
      <c r="Q217" s="6"/>
      <c r="R217" s="6"/>
      <c r="S217" s="6"/>
      <c r="T217" s="6"/>
      <c r="U217" s="831"/>
      <c r="V217" s="836"/>
    </row>
    <row r="218" spans="2:22" s="829" customFormat="1" ht="180" outlineLevel="1">
      <c r="B218" s="830" t="s">
        <v>2809</v>
      </c>
      <c r="C218" s="830"/>
      <c r="D218" s="830" t="s">
        <v>3172</v>
      </c>
      <c r="E218" s="851" t="s">
        <v>3173</v>
      </c>
      <c r="F218" s="852"/>
      <c r="G218" s="852"/>
      <c r="H218" s="11"/>
      <c r="I218" s="11" t="s">
        <v>219</v>
      </c>
      <c r="J218" s="851" t="s">
        <v>2783</v>
      </c>
      <c r="K218" s="6" t="s">
        <v>2783</v>
      </c>
      <c r="L218" s="851">
        <v>0.45363864131175463</v>
      </c>
      <c r="M218" s="833" t="s">
        <v>2810</v>
      </c>
      <c r="N218" s="833" t="s">
        <v>2810</v>
      </c>
      <c r="O218" s="834"/>
      <c r="P218" s="835"/>
      <c r="Q218" s="6"/>
      <c r="R218" s="6"/>
      <c r="S218" s="6"/>
      <c r="T218" s="6"/>
      <c r="U218" s="831"/>
      <c r="V218" s="836"/>
    </row>
    <row r="219" spans="2:22" s="829" customFormat="1" ht="180" outlineLevel="1">
      <c r="B219" s="830" t="s">
        <v>2809</v>
      </c>
      <c r="C219" s="830"/>
      <c r="D219" s="830" t="s">
        <v>3172</v>
      </c>
      <c r="E219" s="851" t="s">
        <v>3173</v>
      </c>
      <c r="F219" s="852"/>
      <c r="G219" s="852"/>
      <c r="H219" s="11"/>
      <c r="I219" s="11" t="s">
        <v>219</v>
      </c>
      <c r="J219" s="851" t="s">
        <v>2783</v>
      </c>
      <c r="K219" s="6" t="s">
        <v>2783</v>
      </c>
      <c r="L219" s="851">
        <v>0.8356501287321797</v>
      </c>
      <c r="M219" s="833" t="s">
        <v>2810</v>
      </c>
      <c r="N219" s="833" t="s">
        <v>2810</v>
      </c>
      <c r="O219" s="834"/>
      <c r="P219" s="835"/>
      <c r="Q219" s="6"/>
      <c r="R219" s="6"/>
      <c r="S219" s="6"/>
      <c r="T219" s="6"/>
      <c r="U219" s="831"/>
      <c r="V219" s="836"/>
    </row>
    <row r="220" spans="2:22" s="829" customFormat="1" ht="180" outlineLevel="1">
      <c r="B220" s="830" t="s">
        <v>2809</v>
      </c>
      <c r="C220" s="830"/>
      <c r="D220" s="830" t="s">
        <v>3172</v>
      </c>
      <c r="E220" s="851" t="s">
        <v>3173</v>
      </c>
      <c r="F220" s="852"/>
      <c r="G220" s="852"/>
      <c r="H220" s="11"/>
      <c r="I220" s="11" t="s">
        <v>219</v>
      </c>
      <c r="J220" s="851" t="s">
        <v>2783</v>
      </c>
      <c r="K220" s="6" t="s">
        <v>2783</v>
      </c>
      <c r="L220" s="851">
        <v>0.97332428787196412</v>
      </c>
      <c r="M220" s="833" t="s">
        <v>2810</v>
      </c>
      <c r="N220" s="833" t="s">
        <v>2810</v>
      </c>
      <c r="O220" s="834"/>
      <c r="P220" s="835"/>
      <c r="Q220" s="6"/>
      <c r="R220" s="6"/>
      <c r="S220" s="6"/>
      <c r="T220" s="6"/>
      <c r="U220" s="831"/>
      <c r="V220" s="836"/>
    </row>
    <row r="221" spans="2:22" s="829" customFormat="1" ht="180" outlineLevel="1">
      <c r="B221" s="830" t="s">
        <v>2809</v>
      </c>
      <c r="C221" s="830"/>
      <c r="D221" s="830" t="s">
        <v>3172</v>
      </c>
      <c r="E221" s="851" t="s">
        <v>3173</v>
      </c>
      <c r="F221" s="852"/>
      <c r="G221" s="852"/>
      <c r="H221" s="11"/>
      <c r="I221" s="11" t="s">
        <v>219</v>
      </c>
      <c r="J221" s="851" t="s">
        <v>2783</v>
      </c>
      <c r="K221" s="6" t="s">
        <v>2783</v>
      </c>
      <c r="L221" s="851">
        <v>1.4516436521976153</v>
      </c>
      <c r="M221" s="833" t="s">
        <v>2810</v>
      </c>
      <c r="N221" s="833" t="s">
        <v>2810</v>
      </c>
      <c r="O221" s="834"/>
      <c r="P221" s="835"/>
      <c r="Q221" s="6"/>
      <c r="R221" s="6"/>
      <c r="S221" s="6"/>
      <c r="T221" s="6"/>
      <c r="U221" s="831"/>
      <c r="V221" s="836"/>
    </row>
    <row r="222" spans="2:22" s="829" customFormat="1" ht="180" outlineLevel="1">
      <c r="B222" s="830" t="s">
        <v>2809</v>
      </c>
      <c r="C222" s="830"/>
      <c r="D222" s="830" t="s">
        <v>3172</v>
      </c>
      <c r="E222" s="851" t="s">
        <v>3173</v>
      </c>
      <c r="F222" s="852"/>
      <c r="G222" s="852"/>
      <c r="H222" s="11"/>
      <c r="I222" s="11" t="s">
        <v>219</v>
      </c>
      <c r="J222" s="851" t="s">
        <v>2783</v>
      </c>
      <c r="K222" s="6" t="s">
        <v>2783</v>
      </c>
      <c r="L222" s="851">
        <v>2.2927584759438866</v>
      </c>
      <c r="M222" s="833" t="s">
        <v>2810</v>
      </c>
      <c r="N222" s="833" t="s">
        <v>2810</v>
      </c>
      <c r="O222" s="834"/>
      <c r="P222" s="835"/>
      <c r="Q222" s="6"/>
      <c r="R222" s="6"/>
      <c r="S222" s="6"/>
      <c r="T222" s="6"/>
      <c r="U222" s="831"/>
      <c r="V222" s="836"/>
    </row>
    <row r="223" spans="2:22" s="829" customFormat="1" ht="180" outlineLevel="1">
      <c r="B223" s="830" t="s">
        <v>2809</v>
      </c>
      <c r="C223" s="830"/>
      <c r="D223" s="830" t="s">
        <v>3172</v>
      </c>
      <c r="E223" s="851" t="s">
        <v>3173</v>
      </c>
      <c r="F223" s="852"/>
      <c r="G223" s="852"/>
      <c r="H223" s="11"/>
      <c r="I223" s="11" t="s">
        <v>219</v>
      </c>
      <c r="J223" s="851" t="s">
        <v>2783</v>
      </c>
      <c r="K223" s="6" t="s">
        <v>2783</v>
      </c>
      <c r="L223" s="851">
        <v>3.2513349718589923</v>
      </c>
      <c r="M223" s="833" t="s">
        <v>2810</v>
      </c>
      <c r="N223" s="833" t="s">
        <v>2810</v>
      </c>
      <c r="O223" s="834"/>
      <c r="P223" s="835"/>
      <c r="Q223" s="6"/>
      <c r="R223" s="6"/>
      <c r="S223" s="6"/>
      <c r="T223" s="6"/>
      <c r="U223" s="831"/>
      <c r="V223" s="836"/>
    </row>
    <row r="224" spans="2:22" s="829" customFormat="1" ht="180" outlineLevel="1">
      <c r="B224" s="830" t="s">
        <v>2809</v>
      </c>
      <c r="C224" s="830"/>
      <c r="D224" s="830" t="s">
        <v>3172</v>
      </c>
      <c r="E224" s="851" t="s">
        <v>3173</v>
      </c>
      <c r="F224" s="852"/>
      <c r="G224" s="852"/>
      <c r="H224" s="11"/>
      <c r="I224" s="11" t="s">
        <v>219</v>
      </c>
      <c r="J224" s="851" t="s">
        <v>2783</v>
      </c>
      <c r="K224" s="6" t="s">
        <v>2783</v>
      </c>
      <c r="L224" s="851">
        <v>4.430889054672952</v>
      </c>
      <c r="M224" s="833" t="s">
        <v>2810</v>
      </c>
      <c r="N224" s="833" t="s">
        <v>2810</v>
      </c>
      <c r="O224" s="834"/>
      <c r="P224" s="835"/>
      <c r="Q224" s="6"/>
      <c r="R224" s="6"/>
      <c r="S224" s="6"/>
      <c r="T224" s="6"/>
      <c r="U224" s="831"/>
      <c r="V224" s="836"/>
    </row>
    <row r="225" spans="2:22" s="829" customFormat="1" ht="180" outlineLevel="1">
      <c r="B225" s="830" t="s">
        <v>2809</v>
      </c>
      <c r="C225" s="830"/>
      <c r="D225" s="830" t="s">
        <v>3172</v>
      </c>
      <c r="E225" s="851" t="s">
        <v>3173</v>
      </c>
      <c r="F225" s="852"/>
      <c r="G225" s="852"/>
      <c r="H225" s="11"/>
      <c r="I225" s="11" t="s">
        <v>219</v>
      </c>
      <c r="J225" s="851" t="s">
        <v>2783</v>
      </c>
      <c r="K225" s="6" t="s">
        <v>2783</v>
      </c>
      <c r="L225" s="851" t="s">
        <v>1489</v>
      </c>
      <c r="M225" s="833" t="s">
        <v>2810</v>
      </c>
      <c r="N225" s="833" t="s">
        <v>2810</v>
      </c>
      <c r="O225" s="834"/>
      <c r="P225" s="835"/>
      <c r="Q225" s="6"/>
      <c r="R225" s="6"/>
      <c r="S225" s="6"/>
      <c r="T225" s="6"/>
      <c r="U225" s="831"/>
      <c r="V225" s="836"/>
    </row>
    <row r="226" spans="2:22" s="829" customFormat="1" ht="180" outlineLevel="1">
      <c r="B226" s="830" t="s">
        <v>2809</v>
      </c>
      <c r="C226" s="830"/>
      <c r="D226" s="830" t="s">
        <v>3172</v>
      </c>
      <c r="E226" s="851" t="s">
        <v>3173</v>
      </c>
      <c r="F226" s="852"/>
      <c r="G226" s="852"/>
      <c r="H226" s="11"/>
      <c r="I226" s="11" t="s">
        <v>219</v>
      </c>
      <c r="J226" s="851" t="s">
        <v>2783</v>
      </c>
      <c r="K226" s="6" t="s">
        <v>2783</v>
      </c>
      <c r="L226" s="851" t="s">
        <v>1489</v>
      </c>
      <c r="M226" s="833" t="s">
        <v>2810</v>
      </c>
      <c r="N226" s="833" t="s">
        <v>2810</v>
      </c>
      <c r="O226" s="834"/>
      <c r="P226" s="835"/>
      <c r="Q226" s="6"/>
      <c r="R226" s="6"/>
      <c r="S226" s="6"/>
      <c r="T226" s="6"/>
      <c r="U226" s="831"/>
      <c r="V226" s="836"/>
    </row>
    <row r="227" spans="2:22" s="829" customFormat="1" ht="180" outlineLevel="1">
      <c r="B227" s="830" t="s">
        <v>2809</v>
      </c>
      <c r="C227" s="830"/>
      <c r="D227" s="830" t="s">
        <v>3172</v>
      </c>
      <c r="E227" s="851" t="s">
        <v>3173</v>
      </c>
      <c r="F227" s="852"/>
      <c r="G227" s="852"/>
      <c r="H227" s="11"/>
      <c r="I227" s="11" t="s">
        <v>219</v>
      </c>
      <c r="J227" s="851" t="s">
        <v>2783</v>
      </c>
      <c r="K227" s="6" t="s">
        <v>2783</v>
      </c>
      <c r="L227" s="851" t="s">
        <v>1489</v>
      </c>
      <c r="M227" s="833" t="s">
        <v>2810</v>
      </c>
      <c r="N227" s="833" t="s">
        <v>2810</v>
      </c>
      <c r="O227" s="834"/>
      <c r="P227" s="835"/>
      <c r="Q227" s="6"/>
      <c r="R227" s="6"/>
      <c r="S227" s="6"/>
      <c r="T227" s="6"/>
      <c r="U227" s="831"/>
      <c r="V227" s="836"/>
    </row>
    <row r="228" spans="2:22" s="829" customFormat="1" ht="180" outlineLevel="1">
      <c r="B228" s="830" t="s">
        <v>2809</v>
      </c>
      <c r="C228" s="830"/>
      <c r="D228" s="830" t="s">
        <v>3172</v>
      </c>
      <c r="E228" s="851" t="s">
        <v>3173</v>
      </c>
      <c r="F228" s="852"/>
      <c r="G228" s="852"/>
      <c r="H228" s="11"/>
      <c r="I228" s="11" t="s">
        <v>219</v>
      </c>
      <c r="J228" s="851" t="s">
        <v>2783</v>
      </c>
      <c r="K228" s="6" t="s">
        <v>2783</v>
      </c>
      <c r="L228" s="851" t="s">
        <v>1489</v>
      </c>
      <c r="M228" s="833" t="s">
        <v>2810</v>
      </c>
      <c r="N228" s="833" t="s">
        <v>2810</v>
      </c>
      <c r="O228" s="834"/>
      <c r="P228" s="835"/>
      <c r="Q228" s="6"/>
      <c r="R228" s="6"/>
      <c r="S228" s="6"/>
      <c r="T228" s="6"/>
      <c r="U228" s="831"/>
      <c r="V228" s="836"/>
    </row>
    <row r="229" spans="2:22" s="829" customFormat="1" ht="180" outlineLevel="1">
      <c r="B229" s="830" t="s">
        <v>2809</v>
      </c>
      <c r="C229" s="830"/>
      <c r="D229" s="830" t="s">
        <v>3172</v>
      </c>
      <c r="E229" s="851" t="s">
        <v>3173</v>
      </c>
      <c r="F229" s="852"/>
      <c r="G229" s="852"/>
      <c r="H229" s="11"/>
      <c r="I229" s="11" t="s">
        <v>219</v>
      </c>
      <c r="J229" s="851" t="s">
        <v>2783</v>
      </c>
      <c r="K229" s="6" t="s">
        <v>2783</v>
      </c>
      <c r="L229" s="851" t="s">
        <v>1489</v>
      </c>
      <c r="M229" s="833" t="s">
        <v>2810</v>
      </c>
      <c r="N229" s="833" t="s">
        <v>2810</v>
      </c>
      <c r="O229" s="834"/>
      <c r="P229" s="835"/>
      <c r="Q229" s="6"/>
      <c r="R229" s="6"/>
      <c r="S229" s="6"/>
      <c r="T229" s="6"/>
      <c r="U229" s="831"/>
      <c r="V229" s="836"/>
    </row>
    <row r="230" spans="2:22" s="829" customFormat="1" ht="180" outlineLevel="1">
      <c r="B230" s="830" t="s">
        <v>2809</v>
      </c>
      <c r="C230" s="830"/>
      <c r="D230" s="830" t="s">
        <v>3172</v>
      </c>
      <c r="E230" s="851" t="s">
        <v>3173</v>
      </c>
      <c r="F230" s="852"/>
      <c r="G230" s="852"/>
      <c r="H230" s="11"/>
      <c r="I230" s="11" t="s">
        <v>219</v>
      </c>
      <c r="J230" s="851" t="s">
        <v>2783</v>
      </c>
      <c r="K230" s="6" t="s">
        <v>2783</v>
      </c>
      <c r="L230" s="851" t="s">
        <v>1489</v>
      </c>
      <c r="M230" s="833" t="s">
        <v>2810</v>
      </c>
      <c r="N230" s="833" t="s">
        <v>2810</v>
      </c>
      <c r="O230" s="834"/>
      <c r="P230" s="835"/>
      <c r="Q230" s="6"/>
      <c r="R230" s="6"/>
      <c r="S230" s="6"/>
      <c r="T230" s="6"/>
      <c r="U230" s="831"/>
      <c r="V230" s="836"/>
    </row>
    <row r="231" spans="2:22" s="829" customFormat="1" ht="180" outlineLevel="1">
      <c r="B231" s="830" t="s">
        <v>2809</v>
      </c>
      <c r="C231" s="830"/>
      <c r="D231" s="830" t="s">
        <v>3172</v>
      </c>
      <c r="E231" s="851" t="s">
        <v>3173</v>
      </c>
      <c r="F231" s="852"/>
      <c r="G231" s="852"/>
      <c r="H231" s="11"/>
      <c r="I231" s="11" t="s">
        <v>219</v>
      </c>
      <c r="J231" s="851" t="s">
        <v>2783</v>
      </c>
      <c r="K231" s="6" t="s">
        <v>2783</v>
      </c>
      <c r="L231" s="851">
        <v>0.38105645870187388</v>
      </c>
      <c r="M231" s="833" t="s">
        <v>2810</v>
      </c>
      <c r="N231" s="833" t="s">
        <v>2810</v>
      </c>
      <c r="O231" s="834"/>
      <c r="P231" s="835"/>
      <c r="Q231" s="6"/>
      <c r="R231" s="6"/>
      <c r="S231" s="6"/>
      <c r="T231" s="6"/>
      <c r="U231" s="831"/>
      <c r="V231" s="836"/>
    </row>
    <row r="232" spans="2:22" s="829" customFormat="1" ht="180" outlineLevel="1">
      <c r="B232" s="830" t="s">
        <v>2809</v>
      </c>
      <c r="C232" s="830"/>
      <c r="D232" s="830" t="s">
        <v>3172</v>
      </c>
      <c r="E232" s="851" t="s">
        <v>3173</v>
      </c>
      <c r="F232" s="852"/>
      <c r="G232" s="852"/>
      <c r="H232" s="11"/>
      <c r="I232" s="11" t="s">
        <v>219</v>
      </c>
      <c r="J232" s="851" t="s">
        <v>2783</v>
      </c>
      <c r="K232" s="6" t="s">
        <v>2783</v>
      </c>
      <c r="L232" s="851">
        <v>0.38105645870187388</v>
      </c>
      <c r="M232" s="833" t="s">
        <v>2810</v>
      </c>
      <c r="N232" s="833" t="s">
        <v>2810</v>
      </c>
      <c r="O232" s="834"/>
      <c r="P232" s="835"/>
      <c r="Q232" s="6"/>
      <c r="R232" s="6"/>
      <c r="S232" s="6"/>
      <c r="T232" s="6"/>
      <c r="U232" s="831"/>
      <c r="V232" s="836"/>
    </row>
    <row r="233" spans="2:22" s="829" customFormat="1" ht="180" outlineLevel="1">
      <c r="B233" s="830" t="s">
        <v>2809</v>
      </c>
      <c r="C233" s="830"/>
      <c r="D233" s="830" t="s">
        <v>3172</v>
      </c>
      <c r="E233" s="851" t="s">
        <v>3173</v>
      </c>
      <c r="F233" s="852"/>
      <c r="G233" s="852"/>
      <c r="H233" s="11"/>
      <c r="I233" s="11" t="s">
        <v>219</v>
      </c>
      <c r="J233" s="851" t="s">
        <v>2783</v>
      </c>
      <c r="K233" s="6" t="s">
        <v>2783</v>
      </c>
      <c r="L233" s="851">
        <v>0.68045796196763186</v>
      </c>
      <c r="M233" s="833" t="s">
        <v>2810</v>
      </c>
      <c r="N233" s="833" t="s">
        <v>2810</v>
      </c>
      <c r="O233" s="834"/>
      <c r="P233" s="835"/>
      <c r="Q233" s="6"/>
      <c r="R233" s="6"/>
      <c r="S233" s="6"/>
      <c r="T233" s="6"/>
      <c r="U233" s="831"/>
      <c r="V233" s="836"/>
    </row>
    <row r="234" spans="2:22" s="829" customFormat="1" ht="180" outlineLevel="1">
      <c r="B234" s="830" t="s">
        <v>2809</v>
      </c>
      <c r="C234" s="830"/>
      <c r="D234" s="830" t="s">
        <v>3172</v>
      </c>
      <c r="E234" s="851" t="s">
        <v>3173</v>
      </c>
      <c r="F234" s="852"/>
      <c r="G234" s="852"/>
      <c r="H234" s="11"/>
      <c r="I234" s="11" t="s">
        <v>219</v>
      </c>
      <c r="J234" s="851" t="s">
        <v>2783</v>
      </c>
      <c r="K234" s="6" t="s">
        <v>2783</v>
      </c>
      <c r="L234" s="851">
        <v>0.78165427426025413</v>
      </c>
      <c r="M234" s="833" t="s">
        <v>2810</v>
      </c>
      <c r="N234" s="833" t="s">
        <v>2810</v>
      </c>
      <c r="O234" s="834"/>
      <c r="P234" s="835"/>
      <c r="Q234" s="6"/>
      <c r="R234" s="6"/>
      <c r="S234" s="6"/>
      <c r="T234" s="6"/>
      <c r="U234" s="831"/>
      <c r="V234" s="836"/>
    </row>
    <row r="235" spans="2:22" s="829" customFormat="1" ht="180" outlineLevel="1">
      <c r="B235" s="830" t="s">
        <v>2809</v>
      </c>
      <c r="C235" s="830"/>
      <c r="D235" s="830" t="s">
        <v>3172</v>
      </c>
      <c r="E235" s="851" t="s">
        <v>3173</v>
      </c>
      <c r="F235" s="852"/>
      <c r="G235" s="852"/>
      <c r="H235" s="11"/>
      <c r="I235" s="11" t="s">
        <v>219</v>
      </c>
      <c r="J235" s="851" t="s">
        <v>2783</v>
      </c>
      <c r="K235" s="6" t="s">
        <v>2783</v>
      </c>
      <c r="L235" s="851">
        <v>1.1125736020492669</v>
      </c>
      <c r="M235" s="833" t="s">
        <v>2810</v>
      </c>
      <c r="N235" s="833" t="s">
        <v>2810</v>
      </c>
      <c r="O235" s="834"/>
      <c r="P235" s="835"/>
      <c r="Q235" s="6"/>
      <c r="R235" s="6"/>
      <c r="S235" s="6"/>
      <c r="T235" s="6"/>
      <c r="U235" s="831"/>
      <c r="V235" s="836"/>
    </row>
    <row r="236" spans="2:22" s="829" customFormat="1" ht="180" outlineLevel="1">
      <c r="B236" s="830" t="s">
        <v>2809</v>
      </c>
      <c r="C236" s="830"/>
      <c r="D236" s="830" t="s">
        <v>3172</v>
      </c>
      <c r="E236" s="851" t="s">
        <v>3173</v>
      </c>
      <c r="F236" s="852"/>
      <c r="G236" s="852"/>
      <c r="H236" s="11"/>
      <c r="I236" s="11" t="s">
        <v>219</v>
      </c>
      <c r="J236" s="851" t="s">
        <v>2783</v>
      </c>
      <c r="K236" s="6" t="s">
        <v>2783</v>
      </c>
      <c r="L236" s="851">
        <v>1.6495950593154713</v>
      </c>
      <c r="M236" s="833" t="s">
        <v>2810</v>
      </c>
      <c r="N236" s="833" t="s">
        <v>2810</v>
      </c>
      <c r="O236" s="834"/>
      <c r="P236" s="835"/>
      <c r="Q236" s="6"/>
      <c r="R236" s="6"/>
      <c r="S236" s="6"/>
      <c r="T236" s="6"/>
      <c r="U236" s="831"/>
      <c r="V236" s="836"/>
    </row>
    <row r="237" spans="2:22" s="829" customFormat="1" ht="180" outlineLevel="1">
      <c r="B237" s="830" t="s">
        <v>2809</v>
      </c>
      <c r="C237" s="830"/>
      <c r="D237" s="830" t="s">
        <v>3172</v>
      </c>
      <c r="E237" s="851" t="s">
        <v>3173</v>
      </c>
      <c r="F237" s="852"/>
      <c r="G237" s="852"/>
      <c r="H237" s="11"/>
      <c r="I237" s="11" t="s">
        <v>219</v>
      </c>
      <c r="J237" s="851" t="s">
        <v>2783</v>
      </c>
      <c r="K237" s="6" t="s">
        <v>2783</v>
      </c>
      <c r="L237" s="851">
        <v>2.1248501414602634</v>
      </c>
      <c r="M237" s="833" t="s">
        <v>2810</v>
      </c>
      <c r="N237" s="833" t="s">
        <v>2810</v>
      </c>
      <c r="O237" s="834"/>
      <c r="P237" s="835"/>
      <c r="Q237" s="6"/>
      <c r="R237" s="6"/>
      <c r="S237" s="6"/>
      <c r="T237" s="6"/>
      <c r="U237" s="831"/>
      <c r="V237" s="836"/>
    </row>
    <row r="238" spans="2:22" s="829" customFormat="1" ht="180" outlineLevel="1">
      <c r="B238" s="830" t="s">
        <v>2809</v>
      </c>
      <c r="C238" s="830"/>
      <c r="D238" s="830" t="s">
        <v>3172</v>
      </c>
      <c r="E238" s="851" t="s">
        <v>3173</v>
      </c>
      <c r="F238" s="852"/>
      <c r="G238" s="852"/>
      <c r="H238" s="11"/>
      <c r="I238" s="11" t="s">
        <v>219</v>
      </c>
      <c r="J238" s="851" t="s">
        <v>2783</v>
      </c>
      <c r="K238" s="6" t="s">
        <v>2783</v>
      </c>
      <c r="L238" s="851">
        <v>2.6585334328037713</v>
      </c>
      <c r="M238" s="833" t="s">
        <v>2810</v>
      </c>
      <c r="N238" s="833" t="s">
        <v>2810</v>
      </c>
      <c r="O238" s="834"/>
      <c r="P238" s="835"/>
      <c r="Q238" s="6"/>
      <c r="R238" s="6"/>
      <c r="S238" s="6"/>
      <c r="T238" s="6"/>
      <c r="U238" s="831"/>
      <c r="V238" s="836"/>
    </row>
    <row r="239" spans="2:22" s="829" customFormat="1" ht="180" outlineLevel="1">
      <c r="B239" s="830" t="s">
        <v>2809</v>
      </c>
      <c r="C239" s="830"/>
      <c r="D239" s="830" t="s">
        <v>3172</v>
      </c>
      <c r="E239" s="851" t="s">
        <v>3173</v>
      </c>
      <c r="F239" s="852"/>
      <c r="G239" s="852"/>
      <c r="H239" s="11"/>
      <c r="I239" s="11" t="s">
        <v>219</v>
      </c>
      <c r="J239" s="851" t="s">
        <v>2783</v>
      </c>
      <c r="K239" s="6" t="s">
        <v>2783</v>
      </c>
      <c r="L239" s="851">
        <v>2.0242042958930884</v>
      </c>
      <c r="M239" s="833" t="s">
        <v>2810</v>
      </c>
      <c r="N239" s="833" t="s">
        <v>2810</v>
      </c>
      <c r="O239" s="834"/>
      <c r="P239" s="835"/>
      <c r="Q239" s="6"/>
      <c r="R239" s="6"/>
      <c r="S239" s="6"/>
      <c r="T239" s="6"/>
      <c r="U239" s="831"/>
      <c r="V239" s="836"/>
    </row>
    <row r="240" spans="2:22" s="829" customFormat="1" ht="180" outlineLevel="1">
      <c r="B240" s="830" t="s">
        <v>2809</v>
      </c>
      <c r="C240" s="830"/>
      <c r="D240" s="830" t="s">
        <v>3172</v>
      </c>
      <c r="E240" s="851" t="s">
        <v>3173</v>
      </c>
      <c r="F240" s="852"/>
      <c r="G240" s="852"/>
      <c r="H240" s="11"/>
      <c r="I240" s="11" t="s">
        <v>219</v>
      </c>
      <c r="J240" s="851" t="s">
        <v>2783</v>
      </c>
      <c r="K240" s="6" t="s">
        <v>2783</v>
      </c>
      <c r="L240" s="851">
        <v>3.55049111299207</v>
      </c>
      <c r="M240" s="833" t="s">
        <v>2810</v>
      </c>
      <c r="N240" s="833" t="s">
        <v>2810</v>
      </c>
      <c r="O240" s="834"/>
      <c r="P240" s="835"/>
      <c r="Q240" s="6"/>
      <c r="R240" s="6"/>
      <c r="S240" s="6"/>
      <c r="T240" s="6"/>
      <c r="U240" s="831"/>
      <c r="V240" s="836"/>
    </row>
    <row r="241" spans="2:22" s="829" customFormat="1" ht="180" outlineLevel="1">
      <c r="B241" s="830" t="s">
        <v>2809</v>
      </c>
      <c r="C241" s="830"/>
      <c r="D241" s="830" t="s">
        <v>3172</v>
      </c>
      <c r="E241" s="851" t="s">
        <v>3173</v>
      </c>
      <c r="F241" s="852"/>
      <c r="G241" s="852"/>
      <c r="H241" s="11"/>
      <c r="I241" s="11" t="s">
        <v>219</v>
      </c>
      <c r="J241" s="851" t="s">
        <v>2783</v>
      </c>
      <c r="K241" s="6" t="s">
        <v>2783</v>
      </c>
      <c r="L241" s="851">
        <v>4.5363864131175466</v>
      </c>
      <c r="M241" s="833" t="s">
        <v>2810</v>
      </c>
      <c r="N241" s="833" t="s">
        <v>2810</v>
      </c>
      <c r="O241" s="834"/>
      <c r="P241" s="835"/>
      <c r="Q241" s="6"/>
      <c r="R241" s="6"/>
      <c r="S241" s="6"/>
      <c r="T241" s="6"/>
      <c r="U241" s="831"/>
      <c r="V241" s="836"/>
    </row>
    <row r="242" spans="2:22" s="829" customFormat="1" ht="180" outlineLevel="1">
      <c r="B242" s="830" t="s">
        <v>2809</v>
      </c>
      <c r="C242" s="830"/>
      <c r="D242" s="830" t="s">
        <v>3172</v>
      </c>
      <c r="E242" s="851" t="s">
        <v>3173</v>
      </c>
      <c r="F242" s="852"/>
      <c r="G242" s="852"/>
      <c r="H242" s="11"/>
      <c r="I242" s="11" t="s">
        <v>219</v>
      </c>
      <c r="J242" s="851" t="s">
        <v>2783</v>
      </c>
      <c r="K242" s="6" t="s">
        <v>2783</v>
      </c>
      <c r="L242" s="851">
        <v>4.8113189230034585</v>
      </c>
      <c r="M242" s="833" t="s">
        <v>2810</v>
      </c>
      <c r="N242" s="833" t="s">
        <v>2810</v>
      </c>
      <c r="O242" s="834"/>
      <c r="P242" s="835"/>
      <c r="Q242" s="6"/>
      <c r="R242" s="6"/>
      <c r="S242" s="6"/>
      <c r="T242" s="6"/>
      <c r="U242" s="831"/>
      <c r="V242" s="836"/>
    </row>
    <row r="243" spans="2:22" s="829" customFormat="1" ht="180" outlineLevel="1">
      <c r="B243" s="830" t="s">
        <v>2809</v>
      </c>
      <c r="C243" s="830"/>
      <c r="D243" s="830" t="s">
        <v>3172</v>
      </c>
      <c r="E243" s="851" t="s">
        <v>3173</v>
      </c>
      <c r="F243" s="852"/>
      <c r="G243" s="852"/>
      <c r="H243" s="11"/>
      <c r="I243" s="11" t="s">
        <v>219</v>
      </c>
      <c r="J243" s="851" t="s">
        <v>2783</v>
      </c>
      <c r="K243" s="6" t="s">
        <v>2783</v>
      </c>
      <c r="L243" s="851">
        <v>7.6825898931829419</v>
      </c>
      <c r="M243" s="833" t="s">
        <v>2810</v>
      </c>
      <c r="N243" s="833" t="s">
        <v>2810</v>
      </c>
      <c r="O243" s="834"/>
      <c r="P243" s="835"/>
      <c r="Q243" s="6"/>
      <c r="R243" s="6"/>
      <c r="S243" s="6"/>
      <c r="T243" s="6"/>
      <c r="U243" s="831"/>
      <c r="V243" s="836"/>
    </row>
    <row r="244" spans="2:22" s="829" customFormat="1" ht="180" outlineLevel="1">
      <c r="B244" s="830" t="s">
        <v>2809</v>
      </c>
      <c r="C244" s="830"/>
      <c r="D244" s="830" t="s">
        <v>3172</v>
      </c>
      <c r="E244" s="851" t="s">
        <v>3173</v>
      </c>
      <c r="F244" s="852"/>
      <c r="G244" s="852"/>
      <c r="H244" s="11"/>
      <c r="I244" s="11" t="s">
        <v>219</v>
      </c>
      <c r="J244" s="851" t="s">
        <v>2783</v>
      </c>
      <c r="K244" s="6" t="s">
        <v>2783</v>
      </c>
      <c r="L244" s="851" t="s">
        <v>1489</v>
      </c>
      <c r="M244" s="833" t="s">
        <v>2810</v>
      </c>
      <c r="N244" s="833" t="s">
        <v>2810</v>
      </c>
      <c r="O244" s="834"/>
      <c r="P244" s="835"/>
      <c r="Q244" s="6"/>
      <c r="R244" s="6"/>
      <c r="S244" s="6"/>
      <c r="T244" s="6"/>
      <c r="U244" s="831"/>
      <c r="V244" s="836"/>
    </row>
    <row r="245" spans="2:22" s="829" customFormat="1" ht="180" outlineLevel="1">
      <c r="B245" s="830" t="s">
        <v>2809</v>
      </c>
      <c r="C245" s="830"/>
      <c r="D245" s="830" t="s">
        <v>3172</v>
      </c>
      <c r="E245" s="851" t="s">
        <v>3173</v>
      </c>
      <c r="F245" s="852"/>
      <c r="G245" s="852"/>
      <c r="H245" s="11"/>
      <c r="I245" s="11" t="s">
        <v>219</v>
      </c>
      <c r="J245" s="851" t="s">
        <v>2783</v>
      </c>
      <c r="K245" s="6" t="s">
        <v>2783</v>
      </c>
      <c r="L245" s="851">
        <v>0.3227577630414038</v>
      </c>
      <c r="M245" s="833" t="s">
        <v>2810</v>
      </c>
      <c r="N245" s="833" t="s">
        <v>2810</v>
      </c>
      <c r="O245" s="834"/>
      <c r="P245" s="835"/>
      <c r="Q245" s="6"/>
      <c r="R245" s="6"/>
      <c r="S245" s="6"/>
      <c r="T245" s="6"/>
      <c r="U245" s="831"/>
      <c r="V245" s="836"/>
    </row>
    <row r="246" spans="2:22" s="829" customFormat="1" ht="180" outlineLevel="1">
      <c r="B246" s="830" t="s">
        <v>2809</v>
      </c>
      <c r="C246" s="830"/>
      <c r="D246" s="830" t="s">
        <v>3172</v>
      </c>
      <c r="E246" s="851" t="s">
        <v>3173</v>
      </c>
      <c r="F246" s="852"/>
      <c r="G246" s="852"/>
      <c r="H246" s="11"/>
      <c r="I246" s="11" t="s">
        <v>219</v>
      </c>
      <c r="J246" s="851" t="s">
        <v>2783</v>
      </c>
      <c r="K246" s="6" t="s">
        <v>2783</v>
      </c>
      <c r="L246" s="851">
        <v>0.3227577630414038</v>
      </c>
      <c r="M246" s="833" t="s">
        <v>2810</v>
      </c>
      <c r="N246" s="833" t="s">
        <v>2810</v>
      </c>
      <c r="O246" s="834"/>
      <c r="P246" s="835"/>
      <c r="Q246" s="6"/>
      <c r="R246" s="6"/>
      <c r="S246" s="6"/>
      <c r="T246" s="6"/>
      <c r="U246" s="831"/>
      <c r="V246" s="836"/>
    </row>
    <row r="247" spans="2:22" s="829" customFormat="1" ht="180" outlineLevel="1">
      <c r="B247" s="830" t="s">
        <v>2809</v>
      </c>
      <c r="C247" s="830"/>
      <c r="D247" s="830" t="s">
        <v>3172</v>
      </c>
      <c r="E247" s="851" t="s">
        <v>3173</v>
      </c>
      <c r="F247" s="852"/>
      <c r="G247" s="852"/>
      <c r="H247" s="11"/>
      <c r="I247" s="11" t="s">
        <v>219</v>
      </c>
      <c r="J247" s="851" t="s">
        <v>2783</v>
      </c>
      <c r="K247" s="6" t="s">
        <v>2783</v>
      </c>
      <c r="L247" s="851">
        <v>0.59455377402363863</v>
      </c>
      <c r="M247" s="833" t="s">
        <v>2810</v>
      </c>
      <c r="N247" s="833" t="s">
        <v>2810</v>
      </c>
      <c r="O247" s="834"/>
      <c r="P247" s="835"/>
      <c r="Q247" s="6"/>
      <c r="R247" s="6"/>
      <c r="S247" s="6"/>
      <c r="T247" s="6"/>
      <c r="U247" s="831"/>
      <c r="V247" s="836"/>
    </row>
    <row r="248" spans="2:22" s="829" customFormat="1" ht="180" outlineLevel="1">
      <c r="B248" s="830" t="s">
        <v>2809</v>
      </c>
      <c r="C248" s="830"/>
      <c r="D248" s="830" t="s">
        <v>3172</v>
      </c>
      <c r="E248" s="851" t="s">
        <v>3173</v>
      </c>
      <c r="F248" s="852"/>
      <c r="G248" s="852"/>
      <c r="H248" s="11"/>
      <c r="I248" s="11" t="s">
        <v>219</v>
      </c>
      <c r="J248" s="851" t="s">
        <v>2783</v>
      </c>
      <c r="K248" s="6" t="s">
        <v>2783</v>
      </c>
      <c r="L248" s="851">
        <v>0.68076966969184993</v>
      </c>
      <c r="M248" s="833" t="s">
        <v>2810</v>
      </c>
      <c r="N248" s="833" t="s">
        <v>2810</v>
      </c>
      <c r="O248" s="834"/>
      <c r="P248" s="835"/>
      <c r="Q248" s="6"/>
      <c r="R248" s="6"/>
      <c r="S248" s="6"/>
      <c r="T248" s="6"/>
      <c r="U248" s="831"/>
      <c r="V248" s="836"/>
    </row>
    <row r="249" spans="2:22" s="829" customFormat="1" ht="180" outlineLevel="1">
      <c r="B249" s="830" t="s">
        <v>2809</v>
      </c>
      <c r="C249" s="830"/>
      <c r="D249" s="830" t="s">
        <v>3172</v>
      </c>
      <c r="E249" s="851" t="s">
        <v>3173</v>
      </c>
      <c r="F249" s="852"/>
      <c r="G249" s="852"/>
      <c r="H249" s="11"/>
      <c r="I249" s="11" t="s">
        <v>219</v>
      </c>
      <c r="J249" s="851" t="s">
        <v>2783</v>
      </c>
      <c r="K249" s="6" t="s">
        <v>2783</v>
      </c>
      <c r="L249" s="851">
        <v>0.95885595386305666</v>
      </c>
      <c r="M249" s="833" t="s">
        <v>2810</v>
      </c>
      <c r="N249" s="833" t="s">
        <v>2810</v>
      </c>
      <c r="O249" s="834"/>
      <c r="P249" s="835"/>
      <c r="Q249" s="6"/>
      <c r="R249" s="6"/>
      <c r="S249" s="6"/>
      <c r="T249" s="6"/>
      <c r="U249" s="831"/>
      <c r="V249" s="836"/>
    </row>
    <row r="250" spans="2:22" s="829" customFormat="1" ht="180" outlineLevel="1">
      <c r="B250" s="830" t="s">
        <v>2809</v>
      </c>
      <c r="C250" s="830"/>
      <c r="D250" s="830" t="s">
        <v>3172</v>
      </c>
      <c r="E250" s="851" t="s">
        <v>3173</v>
      </c>
      <c r="F250" s="852"/>
      <c r="G250" s="852"/>
      <c r="H250" s="11"/>
      <c r="I250" s="11" t="s">
        <v>219</v>
      </c>
      <c r="J250" s="851" t="s">
        <v>2783</v>
      </c>
      <c r="K250" s="6" t="s">
        <v>2783</v>
      </c>
      <c r="L250" s="851">
        <v>1.3003190453466629</v>
      </c>
      <c r="M250" s="833" t="s">
        <v>2810</v>
      </c>
      <c r="N250" s="833" t="s">
        <v>2810</v>
      </c>
      <c r="O250" s="834"/>
      <c r="P250" s="835"/>
      <c r="Q250" s="6"/>
      <c r="R250" s="6"/>
      <c r="S250" s="6"/>
      <c r="T250" s="6"/>
      <c r="U250" s="831"/>
      <c r="V250" s="836"/>
    </row>
    <row r="251" spans="2:22" s="829" customFormat="1" ht="180" outlineLevel="1">
      <c r="B251" s="830" t="s">
        <v>2809</v>
      </c>
      <c r="C251" s="830"/>
      <c r="D251" s="830" t="s">
        <v>3172</v>
      </c>
      <c r="E251" s="851" t="s">
        <v>3173</v>
      </c>
      <c r="F251" s="852"/>
      <c r="G251" s="852"/>
      <c r="H251" s="11"/>
      <c r="I251" s="11" t="s">
        <v>219</v>
      </c>
      <c r="J251" s="851" t="s">
        <v>2783</v>
      </c>
      <c r="K251" s="6" t="s">
        <v>2783</v>
      </c>
      <c r="L251" s="851">
        <v>1.5231265222178607</v>
      </c>
      <c r="M251" s="833" t="s">
        <v>2810</v>
      </c>
      <c r="N251" s="833" t="s">
        <v>2810</v>
      </c>
      <c r="O251" s="834"/>
      <c r="P251" s="835"/>
      <c r="Q251" s="6"/>
      <c r="R251" s="6"/>
      <c r="S251" s="6"/>
      <c r="T251" s="6"/>
      <c r="U251" s="831"/>
      <c r="V251" s="836"/>
    </row>
    <row r="252" spans="2:22" s="829" customFormat="1" ht="180" outlineLevel="1">
      <c r="B252" s="830" t="s">
        <v>2809</v>
      </c>
      <c r="C252" s="830"/>
      <c r="D252" s="830" t="s">
        <v>3172</v>
      </c>
      <c r="E252" s="851" t="s">
        <v>3173</v>
      </c>
      <c r="F252" s="852"/>
      <c r="G252" s="852"/>
      <c r="H252" s="11"/>
      <c r="I252" s="11" t="s">
        <v>219</v>
      </c>
      <c r="J252" s="851" t="s">
        <v>2783</v>
      </c>
      <c r="K252" s="6" t="s">
        <v>2783</v>
      </c>
      <c r="L252" s="851">
        <v>1.8697691100329599</v>
      </c>
      <c r="M252" s="833" t="s">
        <v>2810</v>
      </c>
      <c r="N252" s="833" t="s">
        <v>2810</v>
      </c>
      <c r="O252" s="834"/>
      <c r="P252" s="835"/>
      <c r="Q252" s="6"/>
      <c r="R252" s="6"/>
      <c r="S252" s="6"/>
      <c r="T252" s="6"/>
      <c r="U252" s="831"/>
      <c r="V252" s="836"/>
    </row>
    <row r="253" spans="2:22" s="829" customFormat="1" ht="180" outlineLevel="1">
      <c r="B253" s="830" t="s">
        <v>2809</v>
      </c>
      <c r="C253" s="830"/>
      <c r="D253" s="830" t="s">
        <v>3172</v>
      </c>
      <c r="E253" s="851" t="s">
        <v>3173</v>
      </c>
      <c r="F253" s="852"/>
      <c r="G253" s="852"/>
      <c r="H253" s="11"/>
      <c r="I253" s="11" t="s">
        <v>219</v>
      </c>
      <c r="J253" s="851" t="s">
        <v>2783</v>
      </c>
      <c r="K253" s="6" t="s">
        <v>2783</v>
      </c>
      <c r="L253" s="851">
        <v>1.5959765766285754</v>
      </c>
      <c r="M253" s="833" t="s">
        <v>2810</v>
      </c>
      <c r="N253" s="833" t="s">
        <v>2810</v>
      </c>
      <c r="O253" s="834"/>
      <c r="P253" s="835"/>
      <c r="Q253" s="6"/>
      <c r="R253" s="6"/>
      <c r="S253" s="6"/>
      <c r="T253" s="6"/>
      <c r="U253" s="831"/>
      <c r="V253" s="836"/>
    </row>
    <row r="254" spans="2:22" s="829" customFormat="1" ht="180" outlineLevel="1">
      <c r="B254" s="830" t="s">
        <v>2809</v>
      </c>
      <c r="C254" s="830"/>
      <c r="D254" s="830" t="s">
        <v>3172</v>
      </c>
      <c r="E254" s="851" t="s">
        <v>3173</v>
      </c>
      <c r="F254" s="852"/>
      <c r="G254" s="852"/>
      <c r="H254" s="11"/>
      <c r="I254" s="11" t="s">
        <v>219</v>
      </c>
      <c r="J254" s="851" t="s">
        <v>2783</v>
      </c>
      <c r="K254" s="6" t="s">
        <v>2783</v>
      </c>
      <c r="L254" s="851">
        <v>2.6053239250909721</v>
      </c>
      <c r="M254" s="833" t="s">
        <v>2810</v>
      </c>
      <c r="N254" s="833" t="s">
        <v>2810</v>
      </c>
      <c r="O254" s="834"/>
      <c r="P254" s="835"/>
      <c r="Q254" s="6"/>
      <c r="R254" s="6"/>
      <c r="S254" s="6"/>
      <c r="T254" s="6"/>
      <c r="U254" s="831"/>
      <c r="V254" s="836"/>
    </row>
    <row r="255" spans="2:22" s="829" customFormat="1" ht="180" outlineLevel="1">
      <c r="B255" s="830" t="s">
        <v>2809</v>
      </c>
      <c r="C255" s="830"/>
      <c r="D255" s="830" t="s">
        <v>3172</v>
      </c>
      <c r="E255" s="851" t="s">
        <v>3173</v>
      </c>
      <c r="F255" s="852"/>
      <c r="G255" s="852"/>
      <c r="H255" s="11"/>
      <c r="I255" s="11" t="s">
        <v>219</v>
      </c>
      <c r="J255" s="851" t="s">
        <v>2783</v>
      </c>
      <c r="K255" s="6" t="s">
        <v>2783</v>
      </c>
      <c r="L255" s="851">
        <v>2.754199577953313</v>
      </c>
      <c r="M255" s="833" t="s">
        <v>2810</v>
      </c>
      <c r="N255" s="833" t="s">
        <v>2810</v>
      </c>
      <c r="O255" s="834"/>
      <c r="P255" s="835"/>
      <c r="Q255" s="6"/>
      <c r="R255" s="6"/>
      <c r="S255" s="6"/>
      <c r="T255" s="6"/>
      <c r="U255" s="831"/>
      <c r="V255" s="836"/>
    </row>
    <row r="256" spans="2:22" s="829" customFormat="1" ht="180" outlineLevel="1">
      <c r="B256" s="830" t="s">
        <v>2809</v>
      </c>
      <c r="C256" s="830"/>
      <c r="D256" s="830" t="s">
        <v>3172</v>
      </c>
      <c r="E256" s="851" t="s">
        <v>3173</v>
      </c>
      <c r="F256" s="852"/>
      <c r="G256" s="852"/>
      <c r="H256" s="11"/>
      <c r="I256" s="11" t="s">
        <v>219</v>
      </c>
      <c r="J256" s="851" t="s">
        <v>2783</v>
      </c>
      <c r="K256" s="6" t="s">
        <v>2783</v>
      </c>
      <c r="L256" s="851">
        <v>2.9211207644959383</v>
      </c>
      <c r="M256" s="833" t="s">
        <v>2810</v>
      </c>
      <c r="N256" s="833" t="s">
        <v>2810</v>
      </c>
      <c r="O256" s="834"/>
      <c r="P256" s="835"/>
      <c r="Q256" s="6"/>
      <c r="R256" s="6"/>
      <c r="S256" s="6"/>
      <c r="T256" s="6"/>
      <c r="U256" s="831"/>
      <c r="V256" s="836"/>
    </row>
    <row r="257" spans="2:22" s="829" customFormat="1" ht="180" outlineLevel="1">
      <c r="B257" s="830" t="s">
        <v>2809</v>
      </c>
      <c r="C257" s="830"/>
      <c r="D257" s="830" t="s">
        <v>3172</v>
      </c>
      <c r="E257" s="851" t="s">
        <v>3173</v>
      </c>
      <c r="F257" s="852"/>
      <c r="G257" s="852"/>
      <c r="H257" s="11"/>
      <c r="I257" s="11" t="s">
        <v>219</v>
      </c>
      <c r="J257" s="851" t="s">
        <v>2783</v>
      </c>
      <c r="K257" s="6" t="s">
        <v>2783</v>
      </c>
      <c r="L257" s="851">
        <v>4.6643702529854494</v>
      </c>
      <c r="M257" s="833" t="s">
        <v>2810</v>
      </c>
      <c r="N257" s="833" t="s">
        <v>2810</v>
      </c>
      <c r="O257" s="834"/>
      <c r="P257" s="835"/>
      <c r="Q257" s="6"/>
      <c r="R257" s="6"/>
      <c r="S257" s="6"/>
      <c r="T257" s="6"/>
      <c r="U257" s="831"/>
      <c r="V257" s="836"/>
    </row>
    <row r="258" spans="2:22" s="829" customFormat="1" ht="180" outlineLevel="1">
      <c r="B258" s="830" t="s">
        <v>2809</v>
      </c>
      <c r="C258" s="830"/>
      <c r="D258" s="830" t="s">
        <v>3172</v>
      </c>
      <c r="E258" s="851" t="s">
        <v>3173</v>
      </c>
      <c r="F258" s="852"/>
      <c r="G258" s="852"/>
      <c r="H258" s="11"/>
      <c r="I258" s="11" t="s">
        <v>219</v>
      </c>
      <c r="J258" s="851" t="s">
        <v>2783</v>
      </c>
      <c r="K258" s="6" t="s">
        <v>2783</v>
      </c>
      <c r="L258" s="851">
        <v>4.6324907467711105</v>
      </c>
      <c r="M258" s="833" t="s">
        <v>2810</v>
      </c>
      <c r="N258" s="833" t="s">
        <v>2810</v>
      </c>
      <c r="O258" s="834"/>
      <c r="P258" s="835"/>
      <c r="Q258" s="6"/>
      <c r="R258" s="6"/>
      <c r="S258" s="6"/>
      <c r="T258" s="6"/>
      <c r="U258" s="831"/>
      <c r="V258" s="836"/>
    </row>
    <row r="259" spans="2:22" s="829" customFormat="1" ht="180" outlineLevel="1">
      <c r="B259" s="830" t="s">
        <v>2809</v>
      </c>
      <c r="C259" s="830"/>
      <c r="D259" s="830" t="s">
        <v>3172</v>
      </c>
      <c r="E259" s="851" t="s">
        <v>3173</v>
      </c>
      <c r="F259" s="852"/>
      <c r="G259" s="852"/>
      <c r="H259" s="11"/>
      <c r="I259" s="11" t="s">
        <v>219</v>
      </c>
      <c r="J259" s="851" t="s">
        <v>2783</v>
      </c>
      <c r="K259" s="6" t="s">
        <v>2783</v>
      </c>
      <c r="L259" s="851">
        <v>0.28750881456109856</v>
      </c>
      <c r="M259" s="833" t="s">
        <v>2810</v>
      </c>
      <c r="N259" s="833" t="s">
        <v>2810</v>
      </c>
      <c r="O259" s="834"/>
      <c r="P259" s="835"/>
      <c r="Q259" s="6"/>
      <c r="R259" s="6"/>
      <c r="S259" s="6"/>
      <c r="T259" s="6"/>
      <c r="U259" s="831"/>
      <c r="V259" s="836"/>
    </row>
    <row r="260" spans="2:22" s="829" customFormat="1" ht="180" outlineLevel="1">
      <c r="B260" s="830" t="s">
        <v>2809</v>
      </c>
      <c r="C260" s="830"/>
      <c r="D260" s="830" t="s">
        <v>3172</v>
      </c>
      <c r="E260" s="851" t="s">
        <v>3173</v>
      </c>
      <c r="F260" s="852"/>
      <c r="G260" s="852"/>
      <c r="H260" s="11"/>
      <c r="I260" s="11" t="s">
        <v>219</v>
      </c>
      <c r="J260" s="851" t="s">
        <v>2783</v>
      </c>
      <c r="K260" s="6" t="s">
        <v>2783</v>
      </c>
      <c r="L260" s="851">
        <v>0.28750881456109856</v>
      </c>
      <c r="M260" s="833" t="s">
        <v>2810</v>
      </c>
      <c r="N260" s="833" t="s">
        <v>2810</v>
      </c>
      <c r="O260" s="834"/>
      <c r="P260" s="835"/>
      <c r="Q260" s="6"/>
      <c r="R260" s="6"/>
      <c r="S260" s="6"/>
      <c r="T260" s="6"/>
      <c r="U260" s="831"/>
      <c r="V260" s="836"/>
    </row>
    <row r="261" spans="2:22" s="829" customFormat="1" ht="180" outlineLevel="1">
      <c r="B261" s="830" t="s">
        <v>2809</v>
      </c>
      <c r="C261" s="830"/>
      <c r="D261" s="830" t="s">
        <v>3172</v>
      </c>
      <c r="E261" s="851" t="s">
        <v>3173</v>
      </c>
      <c r="F261" s="852"/>
      <c r="G261" s="852"/>
      <c r="H261" s="11"/>
      <c r="I261" s="11" t="s">
        <v>219</v>
      </c>
      <c r="J261" s="851" t="s">
        <v>2783</v>
      </c>
      <c r="K261" s="6" t="s">
        <v>2783</v>
      </c>
      <c r="L261" s="851">
        <v>0.57501762912219712</v>
      </c>
      <c r="M261" s="833" t="s">
        <v>2810</v>
      </c>
      <c r="N261" s="833" t="s">
        <v>2810</v>
      </c>
      <c r="O261" s="834"/>
      <c r="P261" s="835"/>
      <c r="Q261" s="6"/>
      <c r="R261" s="6"/>
      <c r="S261" s="6"/>
      <c r="T261" s="6"/>
      <c r="U261" s="831"/>
      <c r="V261" s="836"/>
    </row>
    <row r="262" spans="2:22" s="829" customFormat="1" ht="180" outlineLevel="1">
      <c r="B262" s="830" t="s">
        <v>2809</v>
      </c>
      <c r="C262" s="830"/>
      <c r="D262" s="830" t="s">
        <v>3172</v>
      </c>
      <c r="E262" s="851" t="s">
        <v>3173</v>
      </c>
      <c r="F262" s="852"/>
      <c r="G262" s="852"/>
      <c r="H262" s="11"/>
      <c r="I262" s="11" t="s">
        <v>219</v>
      </c>
      <c r="J262" s="851" t="s">
        <v>2783</v>
      </c>
      <c r="K262" s="6" t="s">
        <v>2783</v>
      </c>
      <c r="L262" s="851">
        <v>0.65716300471108247</v>
      </c>
      <c r="M262" s="833" t="s">
        <v>2810</v>
      </c>
      <c r="N262" s="833" t="s">
        <v>2810</v>
      </c>
      <c r="O262" s="834"/>
      <c r="P262" s="835"/>
      <c r="Q262" s="6"/>
      <c r="R262" s="6"/>
      <c r="S262" s="6"/>
      <c r="T262" s="6"/>
      <c r="U262" s="831"/>
      <c r="V262" s="836"/>
    </row>
    <row r="263" spans="2:22" s="829" customFormat="1" ht="180" outlineLevel="1">
      <c r="B263" s="830" t="s">
        <v>2809</v>
      </c>
      <c r="C263" s="830"/>
      <c r="D263" s="830" t="s">
        <v>3172</v>
      </c>
      <c r="E263" s="851" t="s">
        <v>3173</v>
      </c>
      <c r="F263" s="852"/>
      <c r="G263" s="852"/>
      <c r="H263" s="11"/>
      <c r="I263" s="11" t="s">
        <v>219</v>
      </c>
      <c r="J263" s="851" t="s">
        <v>2783</v>
      </c>
      <c r="K263" s="6" t="s">
        <v>2783</v>
      </c>
      <c r="L263" s="851">
        <v>0.92002820659551532</v>
      </c>
      <c r="M263" s="833" t="s">
        <v>2810</v>
      </c>
      <c r="N263" s="833" t="s">
        <v>2810</v>
      </c>
      <c r="O263" s="834"/>
      <c r="P263" s="835"/>
      <c r="Q263" s="6"/>
      <c r="R263" s="6"/>
      <c r="S263" s="6"/>
      <c r="T263" s="6"/>
      <c r="U263" s="831"/>
      <c r="V263" s="836"/>
    </row>
    <row r="264" spans="2:22" s="829" customFormat="1" ht="180" outlineLevel="1">
      <c r="B264" s="830" t="s">
        <v>2809</v>
      </c>
      <c r="C264" s="830"/>
      <c r="D264" s="830" t="s">
        <v>3172</v>
      </c>
      <c r="E264" s="851" t="s">
        <v>3173</v>
      </c>
      <c r="F264" s="852"/>
      <c r="G264" s="852"/>
      <c r="H264" s="11"/>
      <c r="I264" s="11" t="s">
        <v>219</v>
      </c>
      <c r="J264" s="851" t="s">
        <v>2783</v>
      </c>
      <c r="K264" s="6" t="s">
        <v>2783</v>
      </c>
      <c r="L264" s="851">
        <v>1.2778169536048827</v>
      </c>
      <c r="M264" s="833" t="s">
        <v>2810</v>
      </c>
      <c r="N264" s="833" t="s">
        <v>2810</v>
      </c>
      <c r="O264" s="834"/>
      <c r="P264" s="835"/>
      <c r="Q264" s="6"/>
      <c r="R264" s="6"/>
      <c r="S264" s="6"/>
      <c r="T264" s="6"/>
      <c r="U264" s="831"/>
      <c r="V264" s="836"/>
    </row>
    <row r="265" spans="2:22" s="829" customFormat="1" ht="180" outlineLevel="1">
      <c r="B265" s="830" t="s">
        <v>2809</v>
      </c>
      <c r="C265" s="830"/>
      <c r="D265" s="830" t="s">
        <v>3172</v>
      </c>
      <c r="E265" s="851" t="s">
        <v>3173</v>
      </c>
      <c r="F265" s="852"/>
      <c r="G265" s="852"/>
      <c r="H265" s="11"/>
      <c r="I265" s="11" t="s">
        <v>219</v>
      </c>
      <c r="J265" s="851" t="s">
        <v>2783</v>
      </c>
      <c r="K265" s="6" t="s">
        <v>2783</v>
      </c>
      <c r="L265" s="851">
        <v>1.5682298976059923</v>
      </c>
      <c r="M265" s="833" t="s">
        <v>2810</v>
      </c>
      <c r="N265" s="833" t="s">
        <v>2810</v>
      </c>
      <c r="O265" s="834"/>
      <c r="P265" s="835"/>
      <c r="Q265" s="6"/>
      <c r="R265" s="6"/>
      <c r="S265" s="6"/>
      <c r="T265" s="6"/>
      <c r="U265" s="831"/>
      <c r="V265" s="836"/>
    </row>
    <row r="266" spans="2:22" s="829" customFormat="1" ht="180" outlineLevel="1">
      <c r="B266" s="830" t="s">
        <v>2809</v>
      </c>
      <c r="C266" s="830"/>
      <c r="D266" s="830" t="s">
        <v>3172</v>
      </c>
      <c r="E266" s="851" t="s">
        <v>3173</v>
      </c>
      <c r="F266" s="852"/>
      <c r="G266" s="852"/>
      <c r="H266" s="11"/>
      <c r="I266" s="11" t="s">
        <v>219</v>
      </c>
      <c r="J266" s="851" t="s">
        <v>2783</v>
      </c>
      <c r="K266" s="6" t="s">
        <v>2783</v>
      </c>
      <c r="L266" s="851">
        <v>1.9714890141332473</v>
      </c>
      <c r="M266" s="833" t="s">
        <v>2810</v>
      </c>
      <c r="N266" s="833" t="s">
        <v>2810</v>
      </c>
      <c r="O266" s="834"/>
      <c r="P266" s="835"/>
      <c r="Q266" s="6"/>
      <c r="R266" s="6"/>
      <c r="S266" s="6"/>
      <c r="T266" s="6"/>
      <c r="U266" s="831"/>
      <c r="V266" s="836"/>
    </row>
    <row r="267" spans="2:22" s="829" customFormat="1" ht="180" outlineLevel="1">
      <c r="B267" s="830" t="s">
        <v>2809</v>
      </c>
      <c r="C267" s="830"/>
      <c r="D267" s="830" t="s">
        <v>3172</v>
      </c>
      <c r="E267" s="851" t="s">
        <v>3173</v>
      </c>
      <c r="F267" s="852"/>
      <c r="G267" s="852"/>
      <c r="H267" s="11"/>
      <c r="I267" s="11" t="s">
        <v>299</v>
      </c>
      <c r="J267" s="851" t="s">
        <v>2783</v>
      </c>
      <c r="K267" s="6" t="s">
        <v>2783</v>
      </c>
      <c r="L267" s="851">
        <v>1.5862555286129576</v>
      </c>
      <c r="M267" s="833" t="s">
        <v>2810</v>
      </c>
      <c r="N267" s="833" t="s">
        <v>2810</v>
      </c>
      <c r="O267" s="834"/>
      <c r="P267" s="835"/>
      <c r="Q267" s="6"/>
      <c r="R267" s="6"/>
      <c r="S267" s="6"/>
      <c r="T267" s="6"/>
      <c r="U267" s="831"/>
      <c r="V267" s="836"/>
    </row>
    <row r="268" spans="2:22" s="829" customFormat="1" ht="180" outlineLevel="1">
      <c r="B268" s="830" t="s">
        <v>2809</v>
      </c>
      <c r="C268" s="830"/>
      <c r="D268" s="830" t="s">
        <v>3172</v>
      </c>
      <c r="E268" s="851" t="s">
        <v>3173</v>
      </c>
      <c r="F268" s="852"/>
      <c r="G268" s="852"/>
      <c r="H268" s="11"/>
      <c r="I268" s="11" t="s">
        <v>219</v>
      </c>
      <c r="J268" s="851" t="s">
        <v>2783</v>
      </c>
      <c r="K268" s="6" t="s">
        <v>2783</v>
      </c>
      <c r="L268" s="851">
        <v>2.4865627205284202</v>
      </c>
      <c r="M268" s="833" t="s">
        <v>2810</v>
      </c>
      <c r="N268" s="833" t="s">
        <v>2810</v>
      </c>
      <c r="O268" s="834"/>
      <c r="P268" s="835"/>
      <c r="Q268" s="6"/>
      <c r="R268" s="6"/>
      <c r="S268" s="6"/>
      <c r="T268" s="6"/>
      <c r="U268" s="831"/>
      <c r="V268" s="836"/>
    </row>
    <row r="269" spans="2:22" s="829" customFormat="1" ht="180" outlineLevel="1">
      <c r="B269" s="830" t="s">
        <v>2809</v>
      </c>
      <c r="C269" s="830"/>
      <c r="D269" s="830" t="s">
        <v>3172</v>
      </c>
      <c r="E269" s="851" t="s">
        <v>3173</v>
      </c>
      <c r="F269" s="852"/>
      <c r="G269" s="852"/>
      <c r="H269" s="11"/>
      <c r="I269" s="11" t="s">
        <v>219</v>
      </c>
      <c r="J269" s="851" t="s">
        <v>2783</v>
      </c>
      <c r="K269" s="6" t="s">
        <v>2783</v>
      </c>
      <c r="L269" s="851">
        <v>2.6286520188443299</v>
      </c>
      <c r="M269" s="833" t="s">
        <v>2810</v>
      </c>
      <c r="N269" s="833" t="s">
        <v>2810</v>
      </c>
      <c r="O269" s="834"/>
      <c r="P269" s="835"/>
      <c r="Q269" s="6"/>
      <c r="R269" s="6"/>
      <c r="S269" s="6"/>
      <c r="T269" s="6"/>
      <c r="U269" s="831"/>
      <c r="V269" s="836"/>
    </row>
    <row r="270" spans="2:22" s="829" customFormat="1" ht="180" outlineLevel="1">
      <c r="B270" s="830" t="s">
        <v>2809</v>
      </c>
      <c r="C270" s="830"/>
      <c r="D270" s="830" t="s">
        <v>3172</v>
      </c>
      <c r="E270" s="851" t="s">
        <v>3173</v>
      </c>
      <c r="F270" s="852"/>
      <c r="G270" s="852"/>
      <c r="H270" s="11"/>
      <c r="I270" s="11" t="s">
        <v>219</v>
      </c>
      <c r="J270" s="851" t="s">
        <v>2783</v>
      </c>
      <c r="K270" s="6" t="s">
        <v>2783</v>
      </c>
      <c r="L270" s="851">
        <v>2.7879642624106524</v>
      </c>
      <c r="M270" s="833" t="s">
        <v>2810</v>
      </c>
      <c r="N270" s="833" t="s">
        <v>2810</v>
      </c>
      <c r="O270" s="834"/>
      <c r="P270" s="835"/>
      <c r="Q270" s="6"/>
      <c r="R270" s="6"/>
      <c r="S270" s="6"/>
      <c r="T270" s="6"/>
      <c r="U270" s="831"/>
      <c r="V270" s="836"/>
    </row>
    <row r="271" spans="2:22" s="829" customFormat="1" ht="180" outlineLevel="1">
      <c r="B271" s="830" t="s">
        <v>2809</v>
      </c>
      <c r="C271" s="830"/>
      <c r="D271" s="830" t="s">
        <v>3172</v>
      </c>
      <c r="E271" s="851" t="s">
        <v>3173</v>
      </c>
      <c r="F271" s="852"/>
      <c r="G271" s="852"/>
      <c r="H271" s="11"/>
      <c r="I271" s="11" t="s">
        <v>219</v>
      </c>
      <c r="J271" s="851" t="s">
        <v>2783</v>
      </c>
      <c r="K271" s="6" t="s">
        <v>2783</v>
      </c>
      <c r="L271" s="851">
        <v>4.4517493867524944</v>
      </c>
      <c r="M271" s="833" t="s">
        <v>2810</v>
      </c>
      <c r="N271" s="833" t="s">
        <v>2810</v>
      </c>
      <c r="O271" s="834"/>
      <c r="P271" s="835"/>
      <c r="Q271" s="6"/>
      <c r="R271" s="6"/>
      <c r="S271" s="6"/>
      <c r="T271" s="6"/>
      <c r="U271" s="831"/>
      <c r="V271" s="836"/>
    </row>
    <row r="272" spans="2:22" s="829" customFormat="1" ht="180" outlineLevel="1">
      <c r="B272" s="830" t="s">
        <v>2809</v>
      </c>
      <c r="C272" s="830"/>
      <c r="D272" s="830" t="s">
        <v>3172</v>
      </c>
      <c r="E272" s="851" t="s">
        <v>3173</v>
      </c>
      <c r="F272" s="852"/>
      <c r="G272" s="852"/>
      <c r="H272" s="11"/>
      <c r="I272" s="11" t="s">
        <v>219</v>
      </c>
      <c r="J272" s="851" t="s">
        <v>2783</v>
      </c>
      <c r="K272" s="6" t="s">
        <v>2783</v>
      </c>
      <c r="L272" s="851">
        <v>4.5696765228254073</v>
      </c>
      <c r="M272" s="833" t="s">
        <v>2810</v>
      </c>
      <c r="N272" s="833" t="s">
        <v>2810</v>
      </c>
      <c r="O272" s="834"/>
      <c r="P272" s="835"/>
      <c r="Q272" s="6"/>
      <c r="R272" s="6"/>
      <c r="S272" s="6"/>
      <c r="T272" s="6"/>
      <c r="U272" s="831"/>
      <c r="V272" s="836"/>
    </row>
    <row r="273" spans="2:22" s="829" customFormat="1" ht="180" outlineLevel="1">
      <c r="B273" s="830" t="s">
        <v>2809</v>
      </c>
      <c r="C273" s="830"/>
      <c r="D273" s="830" t="s">
        <v>3172</v>
      </c>
      <c r="E273" s="851" t="s">
        <v>3173</v>
      </c>
      <c r="F273" s="852"/>
      <c r="G273" s="852"/>
      <c r="H273" s="11"/>
      <c r="I273" s="11" t="s">
        <v>299</v>
      </c>
      <c r="J273" s="851" t="s">
        <v>2783</v>
      </c>
      <c r="K273" s="6" t="s">
        <v>2783</v>
      </c>
      <c r="L273" s="851">
        <v>9978.8583509513737</v>
      </c>
      <c r="M273" s="833" t="s">
        <v>2810</v>
      </c>
      <c r="N273" s="833" t="s">
        <v>2810</v>
      </c>
      <c r="O273" s="834"/>
      <c r="P273" s="835"/>
      <c r="Q273" s="6"/>
      <c r="R273" s="6"/>
      <c r="S273" s="6"/>
      <c r="T273" s="6"/>
      <c r="U273" s="831"/>
      <c r="V273" s="836"/>
    </row>
    <row r="274" spans="2:22" s="829" customFormat="1" ht="180" outlineLevel="1">
      <c r="B274" s="830" t="s">
        <v>2809</v>
      </c>
      <c r="C274" s="830"/>
      <c r="D274" s="830" t="s">
        <v>3172</v>
      </c>
      <c r="E274" s="851" t="s">
        <v>3173</v>
      </c>
      <c r="F274" s="852"/>
      <c r="G274" s="852"/>
      <c r="H274" s="11"/>
      <c r="I274" s="11" t="s">
        <v>299</v>
      </c>
      <c r="J274" s="851" t="s">
        <v>2783</v>
      </c>
      <c r="K274" s="6" t="s">
        <v>2783</v>
      </c>
      <c r="L274" s="851">
        <v>15949.576529035689</v>
      </c>
      <c r="M274" s="833" t="s">
        <v>2810</v>
      </c>
      <c r="N274" s="833" t="s">
        <v>2810</v>
      </c>
      <c r="O274" s="834"/>
      <c r="P274" s="835"/>
      <c r="Q274" s="6"/>
      <c r="R274" s="6"/>
      <c r="S274" s="6"/>
      <c r="T274" s="6"/>
      <c r="U274" s="831"/>
      <c r="V274" s="836"/>
    </row>
    <row r="275" spans="2:22" s="829" customFormat="1" ht="180" outlineLevel="1">
      <c r="B275" s="830" t="s">
        <v>2809</v>
      </c>
      <c r="C275" s="830"/>
      <c r="D275" s="830" t="s">
        <v>3172</v>
      </c>
      <c r="E275" s="851" t="s">
        <v>3173</v>
      </c>
      <c r="F275" s="852"/>
      <c r="G275" s="852"/>
      <c r="H275" s="11"/>
      <c r="I275" s="11" t="s">
        <v>299</v>
      </c>
      <c r="J275" s="851" t="s">
        <v>2783</v>
      </c>
      <c r="K275" s="6" t="s">
        <v>2783</v>
      </c>
      <c r="L275" s="851">
        <v>15949.576529035689</v>
      </c>
      <c r="M275" s="833" t="s">
        <v>2810</v>
      </c>
      <c r="N275" s="833" t="s">
        <v>2810</v>
      </c>
      <c r="O275" s="834"/>
      <c r="P275" s="835"/>
      <c r="Q275" s="6"/>
      <c r="R275" s="6"/>
      <c r="S275" s="6"/>
      <c r="T275" s="6"/>
      <c r="U275" s="831"/>
      <c r="V275" s="836"/>
    </row>
    <row r="276" spans="2:22" s="829" customFormat="1" ht="180" outlineLevel="1">
      <c r="B276" s="830" t="s">
        <v>2809</v>
      </c>
      <c r="C276" s="830"/>
      <c r="D276" s="830" t="s">
        <v>3172</v>
      </c>
      <c r="E276" s="851" t="s">
        <v>3173</v>
      </c>
      <c r="F276" s="852"/>
      <c r="G276" s="852"/>
      <c r="H276" s="11"/>
      <c r="I276" s="11" t="s">
        <v>299</v>
      </c>
      <c r="J276" s="851" t="s">
        <v>2783</v>
      </c>
      <c r="K276" s="6" t="s">
        <v>2783</v>
      </c>
      <c r="L276" s="851">
        <v>25233.827627963725</v>
      </c>
      <c r="M276" s="833" t="s">
        <v>2810</v>
      </c>
      <c r="N276" s="833" t="s">
        <v>2810</v>
      </c>
      <c r="O276" s="834"/>
      <c r="P276" s="835"/>
      <c r="Q276" s="6"/>
      <c r="R276" s="6"/>
      <c r="S276" s="6"/>
      <c r="T276" s="6"/>
      <c r="U276" s="831"/>
      <c r="V276" s="836"/>
    </row>
    <row r="277" spans="2:22" s="829" customFormat="1" ht="180" outlineLevel="1">
      <c r="B277" s="830" t="s">
        <v>2809</v>
      </c>
      <c r="C277" s="830"/>
      <c r="D277" s="830" t="s">
        <v>3172</v>
      </c>
      <c r="E277" s="851" t="s">
        <v>3173</v>
      </c>
      <c r="F277" s="852"/>
      <c r="G277" s="852"/>
      <c r="H277" s="11"/>
      <c r="I277" s="11" t="s">
        <v>299</v>
      </c>
      <c r="J277" s="851" t="s">
        <v>2783</v>
      </c>
      <c r="K277" s="6" t="s">
        <v>2783</v>
      </c>
      <c r="L277" s="851">
        <v>34732.622001049058</v>
      </c>
      <c r="M277" s="833" t="s">
        <v>2810</v>
      </c>
      <c r="N277" s="833" t="s">
        <v>2810</v>
      </c>
      <c r="O277" s="834"/>
      <c r="P277" s="835"/>
      <c r="Q277" s="6"/>
      <c r="R277" s="6"/>
      <c r="S277" s="6"/>
      <c r="T277" s="6"/>
      <c r="U277" s="831"/>
      <c r="V277" s="836"/>
    </row>
    <row r="278" spans="2:22" s="829" customFormat="1" ht="180" outlineLevel="1">
      <c r="B278" s="830" t="s">
        <v>2809</v>
      </c>
      <c r="C278" s="830"/>
      <c r="D278" s="830" t="s">
        <v>3172</v>
      </c>
      <c r="E278" s="851" t="s">
        <v>3173</v>
      </c>
      <c r="F278" s="852"/>
      <c r="G278" s="852"/>
      <c r="H278" s="11"/>
      <c r="I278" s="11" t="s">
        <v>299</v>
      </c>
      <c r="J278" s="851" t="s">
        <v>2783</v>
      </c>
      <c r="K278" s="6" t="s">
        <v>2783</v>
      </c>
      <c r="L278" s="851">
        <v>40917.883453290669</v>
      </c>
      <c r="M278" s="833" t="s">
        <v>2810</v>
      </c>
      <c r="N278" s="833" t="s">
        <v>2810</v>
      </c>
      <c r="O278" s="834"/>
      <c r="P278" s="835"/>
      <c r="Q278" s="6"/>
      <c r="R278" s="6"/>
      <c r="S278" s="6"/>
      <c r="T278" s="6"/>
      <c r="U278" s="831"/>
      <c r="V278" s="836"/>
    </row>
    <row r="279" spans="2:22" s="829" customFormat="1" ht="180" outlineLevel="1">
      <c r="B279" s="830" t="s">
        <v>2809</v>
      </c>
      <c r="C279" s="830"/>
      <c r="D279" s="830" t="s">
        <v>3172</v>
      </c>
      <c r="E279" s="851" t="s">
        <v>3173</v>
      </c>
      <c r="F279" s="852"/>
      <c r="G279" s="852"/>
      <c r="H279" s="11"/>
      <c r="I279" s="11" t="s">
        <v>299</v>
      </c>
      <c r="J279" s="851" t="s">
        <v>2783</v>
      </c>
      <c r="K279" s="6" t="s">
        <v>2783</v>
      </c>
      <c r="L279" s="851" t="s">
        <v>1489</v>
      </c>
      <c r="M279" s="833" t="s">
        <v>2810</v>
      </c>
      <c r="N279" s="833" t="s">
        <v>2810</v>
      </c>
      <c r="O279" s="834"/>
      <c r="P279" s="835"/>
      <c r="Q279" s="6"/>
      <c r="R279" s="6"/>
      <c r="S279" s="6"/>
      <c r="T279" s="6"/>
      <c r="U279" s="831"/>
      <c r="V279" s="836"/>
    </row>
    <row r="280" spans="2:22" s="829" customFormat="1" ht="180" outlineLevel="1">
      <c r="B280" s="830" t="s">
        <v>2809</v>
      </c>
      <c r="C280" s="830"/>
      <c r="D280" s="830" t="s">
        <v>3172</v>
      </c>
      <c r="E280" s="851" t="s">
        <v>3173</v>
      </c>
      <c r="F280" s="852"/>
      <c r="G280" s="852"/>
      <c r="H280" s="11"/>
      <c r="I280" s="11" t="s">
        <v>299</v>
      </c>
      <c r="J280" s="851" t="s">
        <v>2783</v>
      </c>
      <c r="K280" s="6" t="s">
        <v>2783</v>
      </c>
      <c r="L280" s="851" t="s">
        <v>1489</v>
      </c>
      <c r="M280" s="833" t="s">
        <v>2810</v>
      </c>
      <c r="N280" s="833" t="s">
        <v>2810</v>
      </c>
      <c r="O280" s="834"/>
      <c r="P280" s="835"/>
      <c r="Q280" s="6"/>
      <c r="R280" s="6"/>
      <c r="S280" s="6"/>
      <c r="T280" s="6"/>
      <c r="U280" s="831"/>
      <c r="V280" s="836"/>
    </row>
    <row r="281" spans="2:22" s="829" customFormat="1" ht="180" outlineLevel="1">
      <c r="B281" s="830" t="s">
        <v>2809</v>
      </c>
      <c r="C281" s="830"/>
      <c r="D281" s="830" t="s">
        <v>3172</v>
      </c>
      <c r="E281" s="851" t="s">
        <v>3173</v>
      </c>
      <c r="F281" s="852"/>
      <c r="G281" s="852"/>
      <c r="H281" s="11"/>
      <c r="I281" s="11" t="s">
        <v>299</v>
      </c>
      <c r="J281" s="851" t="s">
        <v>2783</v>
      </c>
      <c r="K281" s="6" t="s">
        <v>2783</v>
      </c>
      <c r="L281" s="851" t="s">
        <v>1489</v>
      </c>
      <c r="M281" s="833" t="s">
        <v>2810</v>
      </c>
      <c r="N281" s="833" t="s">
        <v>2810</v>
      </c>
      <c r="O281" s="834"/>
      <c r="P281" s="835"/>
      <c r="Q281" s="6"/>
      <c r="R281" s="6"/>
      <c r="S281" s="6"/>
      <c r="T281" s="6"/>
      <c r="U281" s="831"/>
      <c r="V281" s="836"/>
    </row>
    <row r="282" spans="2:22" s="829" customFormat="1" ht="180" outlineLevel="1">
      <c r="B282" s="830" t="s">
        <v>2809</v>
      </c>
      <c r="C282" s="830"/>
      <c r="D282" s="830" t="s">
        <v>3172</v>
      </c>
      <c r="E282" s="851" t="s">
        <v>3173</v>
      </c>
      <c r="F282" s="852"/>
      <c r="G282" s="852"/>
      <c r="H282" s="11"/>
      <c r="I282" s="11" t="s">
        <v>299</v>
      </c>
      <c r="J282" s="851" t="s">
        <v>2783</v>
      </c>
      <c r="K282" s="6" t="s">
        <v>2783</v>
      </c>
      <c r="L282" s="851" t="s">
        <v>1489</v>
      </c>
      <c r="M282" s="833" t="s">
        <v>2810</v>
      </c>
      <c r="N282" s="833" t="s">
        <v>2810</v>
      </c>
      <c r="O282" s="834"/>
      <c r="P282" s="835"/>
      <c r="Q282" s="6"/>
      <c r="R282" s="6"/>
      <c r="S282" s="6"/>
      <c r="T282" s="6"/>
      <c r="U282" s="831"/>
      <c r="V282" s="836"/>
    </row>
    <row r="283" spans="2:22" s="829" customFormat="1" ht="180" outlineLevel="1">
      <c r="B283" s="830" t="s">
        <v>2809</v>
      </c>
      <c r="C283" s="830"/>
      <c r="D283" s="830" t="s">
        <v>3172</v>
      </c>
      <c r="E283" s="851" t="s">
        <v>3173</v>
      </c>
      <c r="F283" s="852"/>
      <c r="G283" s="852"/>
      <c r="H283" s="11"/>
      <c r="I283" s="11" t="s">
        <v>299</v>
      </c>
      <c r="J283" s="851" t="s">
        <v>2783</v>
      </c>
      <c r="K283" s="6" t="s">
        <v>2783</v>
      </c>
      <c r="L283" s="851" t="s">
        <v>1489</v>
      </c>
      <c r="M283" s="833" t="s">
        <v>2810</v>
      </c>
      <c r="N283" s="833" t="s">
        <v>2810</v>
      </c>
      <c r="O283" s="834"/>
      <c r="P283" s="835"/>
      <c r="Q283" s="6"/>
      <c r="R283" s="6"/>
      <c r="S283" s="6"/>
      <c r="T283" s="6"/>
      <c r="U283" s="831"/>
      <c r="V283" s="836"/>
    </row>
    <row r="284" spans="2:22" s="829" customFormat="1" ht="180" outlineLevel="1">
      <c r="B284" s="830" t="s">
        <v>2809</v>
      </c>
      <c r="C284" s="830"/>
      <c r="D284" s="830" t="s">
        <v>3172</v>
      </c>
      <c r="E284" s="851" t="s">
        <v>3173</v>
      </c>
      <c r="F284" s="852"/>
      <c r="G284" s="852"/>
      <c r="H284" s="11"/>
      <c r="I284" s="11" t="s">
        <v>299</v>
      </c>
      <c r="J284" s="851" t="s">
        <v>2783</v>
      </c>
      <c r="K284" s="6" t="s">
        <v>2783</v>
      </c>
      <c r="L284" s="851" t="s">
        <v>1489</v>
      </c>
      <c r="M284" s="833" t="s">
        <v>2810</v>
      </c>
      <c r="N284" s="833" t="s">
        <v>2810</v>
      </c>
      <c r="O284" s="834"/>
      <c r="P284" s="835"/>
      <c r="Q284" s="6"/>
      <c r="R284" s="6"/>
      <c r="S284" s="6"/>
      <c r="T284" s="6"/>
      <c r="U284" s="831"/>
      <c r="V284" s="836"/>
    </row>
    <row r="285" spans="2:22" s="829" customFormat="1" ht="180" outlineLevel="1">
      <c r="B285" s="830" t="s">
        <v>2809</v>
      </c>
      <c r="C285" s="830"/>
      <c r="D285" s="830" t="s">
        <v>3172</v>
      </c>
      <c r="E285" s="851" t="s">
        <v>3173</v>
      </c>
      <c r="F285" s="852"/>
      <c r="G285" s="852"/>
      <c r="H285" s="11"/>
      <c r="I285" s="11" t="s">
        <v>299</v>
      </c>
      <c r="J285" s="851" t="s">
        <v>2783</v>
      </c>
      <c r="K285" s="6" t="s">
        <v>2783</v>
      </c>
      <c r="L285" s="851" t="s">
        <v>1489</v>
      </c>
      <c r="M285" s="833" t="s">
        <v>2810</v>
      </c>
      <c r="N285" s="833" t="s">
        <v>2810</v>
      </c>
      <c r="O285" s="834"/>
      <c r="P285" s="835"/>
      <c r="Q285" s="6"/>
      <c r="R285" s="6"/>
      <c r="S285" s="6"/>
      <c r="T285" s="6"/>
      <c r="U285" s="831"/>
      <c r="V285" s="836"/>
    </row>
    <row r="286" spans="2:22" s="829" customFormat="1" ht="180" outlineLevel="1">
      <c r="B286" s="830" t="s">
        <v>2809</v>
      </c>
      <c r="C286" s="830"/>
      <c r="D286" s="830" t="s">
        <v>3172</v>
      </c>
      <c r="E286" s="851" t="s">
        <v>3173</v>
      </c>
      <c r="F286" s="852"/>
      <c r="G286" s="852"/>
      <c r="H286" s="11"/>
      <c r="I286" s="11" t="s">
        <v>299</v>
      </c>
      <c r="J286" s="851" t="s">
        <v>2783</v>
      </c>
      <c r="K286" s="6" t="s">
        <v>2783</v>
      </c>
      <c r="L286" s="851" t="s">
        <v>1489</v>
      </c>
      <c r="M286" s="833" t="s">
        <v>2810</v>
      </c>
      <c r="N286" s="833" t="s">
        <v>2810</v>
      </c>
      <c r="O286" s="834"/>
      <c r="P286" s="835"/>
      <c r="Q286" s="6"/>
      <c r="R286" s="6"/>
      <c r="S286" s="6"/>
      <c r="T286" s="6"/>
      <c r="U286" s="831"/>
      <c r="V286" s="836"/>
    </row>
    <row r="287" spans="2:22" s="829" customFormat="1" ht="180" outlineLevel="1">
      <c r="B287" s="830" t="s">
        <v>2809</v>
      </c>
      <c r="C287" s="830"/>
      <c r="D287" s="830" t="s">
        <v>3172</v>
      </c>
      <c r="E287" s="851" t="s">
        <v>3173</v>
      </c>
      <c r="F287" s="852"/>
      <c r="G287" s="852"/>
      <c r="H287" s="11"/>
      <c r="I287" s="11" t="s">
        <v>299</v>
      </c>
      <c r="J287" s="851" t="s">
        <v>2783</v>
      </c>
      <c r="K287" s="6" t="s">
        <v>2783</v>
      </c>
      <c r="L287" s="851">
        <v>7864.5559044121383</v>
      </c>
      <c r="M287" s="833" t="s">
        <v>2810</v>
      </c>
      <c r="N287" s="833" t="s">
        <v>2810</v>
      </c>
      <c r="O287" s="834"/>
      <c r="P287" s="835"/>
      <c r="Q287" s="6"/>
      <c r="R287" s="6"/>
      <c r="S287" s="6"/>
      <c r="T287" s="6"/>
      <c r="U287" s="831"/>
      <c r="V287" s="836"/>
    </row>
    <row r="288" spans="2:22" s="829" customFormat="1" ht="180" outlineLevel="1">
      <c r="B288" s="830" t="s">
        <v>2809</v>
      </c>
      <c r="C288" s="830"/>
      <c r="D288" s="830" t="s">
        <v>3172</v>
      </c>
      <c r="E288" s="851" t="s">
        <v>3173</v>
      </c>
      <c r="F288" s="852"/>
      <c r="G288" s="852"/>
      <c r="H288" s="11"/>
      <c r="I288" s="11" t="s">
        <v>299</v>
      </c>
      <c r="J288" s="851" t="s">
        <v>2783</v>
      </c>
      <c r="K288" s="6" t="s">
        <v>2783</v>
      </c>
      <c r="L288" s="851">
        <v>10486.074539216184</v>
      </c>
      <c r="M288" s="833" t="s">
        <v>2810</v>
      </c>
      <c r="N288" s="833" t="s">
        <v>2810</v>
      </c>
      <c r="O288" s="834"/>
      <c r="P288" s="835"/>
      <c r="Q288" s="6"/>
      <c r="R288" s="6"/>
      <c r="S288" s="6"/>
      <c r="T288" s="6"/>
      <c r="U288" s="831"/>
      <c r="V288" s="836"/>
    </row>
    <row r="289" spans="2:22" s="829" customFormat="1" ht="180" outlineLevel="1">
      <c r="B289" s="830" t="s">
        <v>2809</v>
      </c>
      <c r="C289" s="830"/>
      <c r="D289" s="830" t="s">
        <v>3172</v>
      </c>
      <c r="E289" s="851" t="s">
        <v>3173</v>
      </c>
      <c r="F289" s="852"/>
      <c r="G289" s="852"/>
      <c r="H289" s="11"/>
      <c r="I289" s="11" t="s">
        <v>299</v>
      </c>
      <c r="J289" s="851" t="s">
        <v>2783</v>
      </c>
      <c r="K289" s="6" t="s">
        <v>2783</v>
      </c>
      <c r="L289" s="851">
        <v>15292.192036356937</v>
      </c>
      <c r="M289" s="833" t="s">
        <v>2810</v>
      </c>
      <c r="N289" s="833" t="s">
        <v>2810</v>
      </c>
      <c r="O289" s="834"/>
      <c r="P289" s="835"/>
      <c r="Q289" s="6"/>
      <c r="R289" s="6"/>
      <c r="S289" s="6"/>
      <c r="T289" s="6"/>
      <c r="U289" s="831"/>
      <c r="V289" s="836"/>
    </row>
    <row r="290" spans="2:22" s="829" customFormat="1" ht="180" outlineLevel="1">
      <c r="B290" s="830" t="s">
        <v>2809</v>
      </c>
      <c r="C290" s="830"/>
      <c r="D290" s="830" t="s">
        <v>3172</v>
      </c>
      <c r="E290" s="851" t="s">
        <v>3173</v>
      </c>
      <c r="F290" s="852"/>
      <c r="G290" s="852"/>
      <c r="H290" s="11"/>
      <c r="I290" s="11" t="s">
        <v>299</v>
      </c>
      <c r="J290" s="851" t="s">
        <v>2783</v>
      </c>
      <c r="K290" s="6" t="s">
        <v>2783</v>
      </c>
      <c r="L290" s="851">
        <v>21845.988623367051</v>
      </c>
      <c r="M290" s="833" t="s">
        <v>2810</v>
      </c>
      <c r="N290" s="833" t="s">
        <v>2810</v>
      </c>
      <c r="O290" s="834"/>
      <c r="P290" s="835"/>
      <c r="Q290" s="6"/>
      <c r="R290" s="6"/>
      <c r="S290" s="6"/>
      <c r="T290" s="6"/>
      <c r="U290" s="831"/>
      <c r="V290" s="836"/>
    </row>
    <row r="291" spans="2:22" s="829" customFormat="1" ht="180" outlineLevel="1">
      <c r="B291" s="830" t="s">
        <v>2809</v>
      </c>
      <c r="C291" s="830"/>
      <c r="D291" s="830" t="s">
        <v>3172</v>
      </c>
      <c r="E291" s="851" t="s">
        <v>3173</v>
      </c>
      <c r="F291" s="852"/>
      <c r="G291" s="852"/>
      <c r="H291" s="11"/>
      <c r="I291" s="11" t="s">
        <v>299</v>
      </c>
      <c r="J291" s="851" t="s">
        <v>2783</v>
      </c>
      <c r="K291" s="6" t="s">
        <v>2783</v>
      </c>
      <c r="L291" s="851">
        <v>26215.186348040461</v>
      </c>
      <c r="M291" s="833" t="s">
        <v>2810</v>
      </c>
      <c r="N291" s="833" t="s">
        <v>2810</v>
      </c>
      <c r="O291" s="834"/>
      <c r="P291" s="835"/>
      <c r="Q291" s="6"/>
      <c r="R291" s="6"/>
      <c r="S291" s="6"/>
      <c r="T291" s="6"/>
      <c r="U291" s="831"/>
      <c r="V291" s="836"/>
    </row>
    <row r="292" spans="2:22" s="829" customFormat="1" ht="180" outlineLevel="1">
      <c r="B292" s="830" t="s">
        <v>2809</v>
      </c>
      <c r="C292" s="830"/>
      <c r="D292" s="830" t="s">
        <v>3172</v>
      </c>
      <c r="E292" s="851" t="s">
        <v>3173</v>
      </c>
      <c r="F292" s="852"/>
      <c r="G292" s="852"/>
      <c r="H292" s="11"/>
      <c r="I292" s="11" t="s">
        <v>299</v>
      </c>
      <c r="J292" s="851" t="s">
        <v>2783</v>
      </c>
      <c r="K292" s="6" t="s">
        <v>2783</v>
      </c>
      <c r="L292" s="851" t="s">
        <v>1489</v>
      </c>
      <c r="M292" s="833" t="s">
        <v>2810</v>
      </c>
      <c r="N292" s="833" t="s">
        <v>2810</v>
      </c>
      <c r="O292" s="834"/>
      <c r="P292" s="835"/>
      <c r="Q292" s="6"/>
      <c r="R292" s="6"/>
      <c r="S292" s="6"/>
      <c r="T292" s="6"/>
      <c r="U292" s="831"/>
      <c r="V292" s="836"/>
    </row>
    <row r="293" spans="2:22" s="829" customFormat="1" ht="180" outlineLevel="1">
      <c r="B293" s="830" t="s">
        <v>2809</v>
      </c>
      <c r="C293" s="830"/>
      <c r="D293" s="830" t="s">
        <v>3172</v>
      </c>
      <c r="E293" s="851" t="s">
        <v>3173</v>
      </c>
      <c r="F293" s="852"/>
      <c r="G293" s="852"/>
      <c r="H293" s="11"/>
      <c r="I293" s="11" t="s">
        <v>299</v>
      </c>
      <c r="J293" s="851" t="s">
        <v>2783</v>
      </c>
      <c r="K293" s="6" t="s">
        <v>2783</v>
      </c>
      <c r="L293" s="851" t="s">
        <v>1489</v>
      </c>
      <c r="M293" s="833" t="s">
        <v>2810</v>
      </c>
      <c r="N293" s="833" t="s">
        <v>2810</v>
      </c>
      <c r="O293" s="834"/>
      <c r="P293" s="835"/>
      <c r="Q293" s="6"/>
      <c r="R293" s="6"/>
      <c r="S293" s="6"/>
      <c r="T293" s="6"/>
      <c r="U293" s="831"/>
      <c r="V293" s="836"/>
    </row>
    <row r="294" spans="2:22" s="829" customFormat="1" ht="180" outlineLevel="1">
      <c r="B294" s="830" t="s">
        <v>2809</v>
      </c>
      <c r="C294" s="830"/>
      <c r="D294" s="830" t="s">
        <v>3172</v>
      </c>
      <c r="E294" s="851" t="s">
        <v>3173</v>
      </c>
      <c r="F294" s="852"/>
      <c r="G294" s="852"/>
      <c r="H294" s="11"/>
      <c r="I294" s="11" t="s">
        <v>299</v>
      </c>
      <c r="J294" s="851" t="s">
        <v>2783</v>
      </c>
      <c r="K294" s="6" t="s">
        <v>2783</v>
      </c>
      <c r="L294" s="851" t="s">
        <v>1489</v>
      </c>
      <c r="M294" s="833" t="s">
        <v>2810</v>
      </c>
      <c r="N294" s="833" t="s">
        <v>2810</v>
      </c>
      <c r="O294" s="834"/>
      <c r="P294" s="835"/>
      <c r="Q294" s="6"/>
      <c r="R294" s="6"/>
      <c r="S294" s="6"/>
      <c r="T294" s="6"/>
      <c r="U294" s="831"/>
      <c r="V294" s="836"/>
    </row>
    <row r="295" spans="2:22" s="829" customFormat="1" ht="180" outlineLevel="1">
      <c r="B295" s="830" t="s">
        <v>2809</v>
      </c>
      <c r="C295" s="830"/>
      <c r="D295" s="830" t="s">
        <v>3172</v>
      </c>
      <c r="E295" s="851" t="s">
        <v>3173</v>
      </c>
      <c r="F295" s="852"/>
      <c r="G295" s="852"/>
      <c r="H295" s="11"/>
      <c r="I295" s="11" t="s">
        <v>299</v>
      </c>
      <c r="J295" s="851" t="s">
        <v>2783</v>
      </c>
      <c r="K295" s="6" t="s">
        <v>2783</v>
      </c>
      <c r="L295" s="851" t="s">
        <v>1489</v>
      </c>
      <c r="M295" s="833" t="s">
        <v>2810</v>
      </c>
      <c r="N295" s="833" t="s">
        <v>2810</v>
      </c>
      <c r="O295" s="834"/>
      <c r="P295" s="835"/>
      <c r="Q295" s="6"/>
      <c r="R295" s="6"/>
      <c r="S295" s="6"/>
      <c r="T295" s="6"/>
      <c r="U295" s="831"/>
      <c r="V295" s="836"/>
    </row>
    <row r="296" spans="2:22" s="829" customFormat="1" ht="180" outlineLevel="1">
      <c r="B296" s="830" t="s">
        <v>2809</v>
      </c>
      <c r="C296" s="830"/>
      <c r="D296" s="830" t="s">
        <v>3172</v>
      </c>
      <c r="E296" s="851" t="s">
        <v>3173</v>
      </c>
      <c r="F296" s="852"/>
      <c r="G296" s="852"/>
      <c r="H296" s="11"/>
      <c r="I296" s="11" t="s">
        <v>299</v>
      </c>
      <c r="J296" s="851" t="s">
        <v>2783</v>
      </c>
      <c r="K296" s="6" t="s">
        <v>2783</v>
      </c>
      <c r="L296" s="851" t="s">
        <v>1489</v>
      </c>
      <c r="M296" s="833" t="s">
        <v>2810</v>
      </c>
      <c r="N296" s="833" t="s">
        <v>2810</v>
      </c>
      <c r="O296" s="834"/>
      <c r="P296" s="835"/>
      <c r="Q296" s="6"/>
      <c r="R296" s="6"/>
      <c r="S296" s="6"/>
      <c r="T296" s="6"/>
      <c r="U296" s="831"/>
      <c r="V296" s="836"/>
    </row>
    <row r="297" spans="2:22" s="829" customFormat="1" ht="180" outlineLevel="1">
      <c r="B297" s="830" t="s">
        <v>2809</v>
      </c>
      <c r="C297" s="830"/>
      <c r="D297" s="830" t="s">
        <v>3172</v>
      </c>
      <c r="E297" s="851" t="s">
        <v>3173</v>
      </c>
      <c r="F297" s="852"/>
      <c r="G297" s="852"/>
      <c r="H297" s="11"/>
      <c r="I297" s="11" t="s">
        <v>299</v>
      </c>
      <c r="J297" s="851" t="s">
        <v>2783</v>
      </c>
      <c r="K297" s="6" t="s">
        <v>2783</v>
      </c>
      <c r="L297" s="851" t="s">
        <v>1489</v>
      </c>
      <c r="M297" s="833" t="s">
        <v>2810</v>
      </c>
      <c r="N297" s="833" t="s">
        <v>2810</v>
      </c>
      <c r="O297" s="834"/>
      <c r="P297" s="835"/>
      <c r="Q297" s="6"/>
      <c r="R297" s="6"/>
      <c r="S297" s="6"/>
      <c r="T297" s="6"/>
      <c r="U297" s="831"/>
      <c r="V297" s="836"/>
    </row>
    <row r="298" spans="2:22" s="829" customFormat="1" ht="180" outlineLevel="1">
      <c r="B298" s="830" t="s">
        <v>2809</v>
      </c>
      <c r="C298" s="830"/>
      <c r="D298" s="830" t="s">
        <v>3172</v>
      </c>
      <c r="E298" s="851" t="s">
        <v>3173</v>
      </c>
      <c r="F298" s="852"/>
      <c r="G298" s="852"/>
      <c r="H298" s="11"/>
      <c r="I298" s="11" t="s">
        <v>299</v>
      </c>
      <c r="J298" s="851" t="s">
        <v>2783</v>
      </c>
      <c r="K298" s="6" t="s">
        <v>2783</v>
      </c>
      <c r="L298" s="851" t="s">
        <v>1489</v>
      </c>
      <c r="M298" s="833" t="s">
        <v>2810</v>
      </c>
      <c r="N298" s="833" t="s">
        <v>2810</v>
      </c>
      <c r="O298" s="834"/>
      <c r="P298" s="835"/>
      <c r="Q298" s="6"/>
      <c r="R298" s="6"/>
      <c r="S298" s="6"/>
      <c r="T298" s="6"/>
      <c r="U298" s="831"/>
      <c r="V298" s="836"/>
    </row>
    <row r="299" spans="2:22" s="829" customFormat="1" ht="180" outlineLevel="1">
      <c r="B299" s="830" t="s">
        <v>2809</v>
      </c>
      <c r="C299" s="830"/>
      <c r="D299" s="830" t="s">
        <v>3172</v>
      </c>
      <c r="E299" s="851" t="s">
        <v>3173</v>
      </c>
      <c r="F299" s="852"/>
      <c r="G299" s="852"/>
      <c r="H299" s="11"/>
      <c r="I299" s="11" t="s">
        <v>299</v>
      </c>
      <c r="J299" s="851" t="s">
        <v>2783</v>
      </c>
      <c r="K299" s="6" t="s">
        <v>2783</v>
      </c>
      <c r="L299" s="851" t="s">
        <v>1489</v>
      </c>
      <c r="M299" s="833" t="s">
        <v>2810</v>
      </c>
      <c r="N299" s="833" t="s">
        <v>2810</v>
      </c>
      <c r="O299" s="834"/>
      <c r="P299" s="835"/>
      <c r="Q299" s="6"/>
      <c r="R299" s="6"/>
      <c r="S299" s="6"/>
      <c r="T299" s="6"/>
      <c r="U299" s="831"/>
      <c r="V299" s="836"/>
    </row>
    <row r="300" spans="2:22" s="829" customFormat="1" ht="180" outlineLevel="1">
      <c r="B300" s="830" t="s">
        <v>2809</v>
      </c>
      <c r="C300" s="830"/>
      <c r="D300" s="830" t="s">
        <v>3172</v>
      </c>
      <c r="E300" s="851" t="s">
        <v>3173</v>
      </c>
      <c r="F300" s="852"/>
      <c r="G300" s="852"/>
      <c r="H300" s="11"/>
      <c r="I300" s="11" t="s">
        <v>299</v>
      </c>
      <c r="J300" s="851" t="s">
        <v>2783</v>
      </c>
      <c r="K300" s="6" t="s">
        <v>2783</v>
      </c>
      <c r="L300" s="851" t="s">
        <v>1489</v>
      </c>
      <c r="M300" s="833" t="s">
        <v>2810</v>
      </c>
      <c r="N300" s="833" t="s">
        <v>2810</v>
      </c>
      <c r="O300" s="834"/>
      <c r="P300" s="835"/>
      <c r="Q300" s="6"/>
      <c r="R300" s="6"/>
      <c r="S300" s="6"/>
      <c r="T300" s="6"/>
      <c r="U300" s="831"/>
      <c r="V300" s="836"/>
    </row>
    <row r="301" spans="2:22" s="829" customFormat="1" ht="180" outlineLevel="1">
      <c r="B301" s="830" t="s">
        <v>2809</v>
      </c>
      <c r="C301" s="830"/>
      <c r="D301" s="830" t="s">
        <v>3172</v>
      </c>
      <c r="E301" s="851" t="s">
        <v>3173</v>
      </c>
      <c r="F301" s="852"/>
      <c r="G301" s="852"/>
      <c r="H301" s="11"/>
      <c r="I301" s="11" t="s">
        <v>299</v>
      </c>
      <c r="J301" s="851" t="s">
        <v>2783</v>
      </c>
      <c r="K301" s="6" t="s">
        <v>2783</v>
      </c>
      <c r="L301" s="851">
        <v>5498.650197718237</v>
      </c>
      <c r="M301" s="833" t="s">
        <v>2810</v>
      </c>
      <c r="N301" s="833" t="s">
        <v>2810</v>
      </c>
      <c r="O301" s="834"/>
      <c r="P301" s="835"/>
      <c r="Q301" s="6"/>
      <c r="R301" s="6"/>
      <c r="S301" s="6"/>
      <c r="T301" s="6"/>
      <c r="U301" s="831"/>
      <c r="V301" s="836"/>
    </row>
    <row r="302" spans="2:22" s="829" customFormat="1" ht="180" outlineLevel="1">
      <c r="B302" s="830" t="s">
        <v>2809</v>
      </c>
      <c r="C302" s="830"/>
      <c r="D302" s="830" t="s">
        <v>3172</v>
      </c>
      <c r="E302" s="851" t="s">
        <v>3173</v>
      </c>
      <c r="F302" s="852"/>
      <c r="G302" s="852"/>
      <c r="H302" s="11"/>
      <c r="I302" s="11" t="s">
        <v>299</v>
      </c>
      <c r="J302" s="851" t="s">
        <v>2783</v>
      </c>
      <c r="K302" s="6" t="s">
        <v>2783</v>
      </c>
      <c r="L302" s="851">
        <v>7813.8713335996017</v>
      </c>
      <c r="M302" s="833" t="s">
        <v>2810</v>
      </c>
      <c r="N302" s="833" t="s">
        <v>2810</v>
      </c>
      <c r="O302" s="834"/>
      <c r="P302" s="835"/>
      <c r="Q302" s="6"/>
      <c r="R302" s="6"/>
      <c r="S302" s="6"/>
      <c r="T302" s="6"/>
      <c r="U302" s="831"/>
      <c r="V302" s="836"/>
    </row>
    <row r="303" spans="2:22" s="829" customFormat="1" ht="180" outlineLevel="1">
      <c r="B303" s="830" t="s">
        <v>2809</v>
      </c>
      <c r="C303" s="830"/>
      <c r="D303" s="830" t="s">
        <v>3172</v>
      </c>
      <c r="E303" s="851" t="s">
        <v>3173</v>
      </c>
      <c r="F303" s="852"/>
      <c r="G303" s="852"/>
      <c r="H303" s="11"/>
      <c r="I303" s="11" t="s">
        <v>299</v>
      </c>
      <c r="J303" s="851" t="s">
        <v>2783</v>
      </c>
      <c r="K303" s="6" t="s">
        <v>2783</v>
      </c>
      <c r="L303" s="851">
        <v>12127.032727222624</v>
      </c>
      <c r="M303" s="833" t="s">
        <v>2810</v>
      </c>
      <c r="N303" s="833" t="s">
        <v>2810</v>
      </c>
      <c r="O303" s="834"/>
      <c r="P303" s="835"/>
      <c r="Q303" s="6"/>
      <c r="R303" s="6"/>
      <c r="S303" s="6"/>
      <c r="T303" s="6"/>
      <c r="U303" s="831"/>
      <c r="V303" s="836"/>
    </row>
    <row r="304" spans="2:22" s="829" customFormat="1" ht="180" outlineLevel="1">
      <c r="B304" s="830" t="s">
        <v>2809</v>
      </c>
      <c r="C304" s="830"/>
      <c r="D304" s="830" t="s">
        <v>3172</v>
      </c>
      <c r="E304" s="851" t="s">
        <v>3173</v>
      </c>
      <c r="F304" s="852"/>
      <c r="G304" s="852"/>
      <c r="H304" s="11"/>
      <c r="I304" s="11" t="s">
        <v>299</v>
      </c>
      <c r="J304" s="851" t="s">
        <v>2783</v>
      </c>
      <c r="K304" s="6" t="s">
        <v>2783</v>
      </c>
      <c r="L304" s="851">
        <v>18726.289942187497</v>
      </c>
      <c r="M304" s="833" t="s">
        <v>2810</v>
      </c>
      <c r="N304" s="833" t="s">
        <v>2810</v>
      </c>
      <c r="O304" s="834"/>
      <c r="P304" s="835"/>
      <c r="Q304" s="6"/>
      <c r="R304" s="6"/>
      <c r="S304" s="6"/>
      <c r="T304" s="6"/>
      <c r="U304" s="831"/>
      <c r="V304" s="836"/>
    </row>
    <row r="305" spans="2:22" s="829" customFormat="1" ht="180" outlineLevel="1">
      <c r="B305" s="830" t="s">
        <v>2809</v>
      </c>
      <c r="C305" s="830"/>
      <c r="D305" s="830" t="s">
        <v>3172</v>
      </c>
      <c r="E305" s="851" t="s">
        <v>3173</v>
      </c>
      <c r="F305" s="852"/>
      <c r="G305" s="852"/>
      <c r="H305" s="11"/>
      <c r="I305" s="11" t="s">
        <v>299</v>
      </c>
      <c r="J305" s="851" t="s">
        <v>2783</v>
      </c>
      <c r="K305" s="6" t="s">
        <v>2783</v>
      </c>
      <c r="L305" s="851">
        <v>28847.085317574842</v>
      </c>
      <c r="M305" s="833" t="s">
        <v>2810</v>
      </c>
      <c r="N305" s="833" t="s">
        <v>2810</v>
      </c>
      <c r="O305" s="834"/>
      <c r="P305" s="835"/>
      <c r="Q305" s="6"/>
      <c r="R305" s="6"/>
      <c r="S305" s="6"/>
      <c r="T305" s="6"/>
      <c r="U305" s="831"/>
      <c r="V305" s="836"/>
    </row>
    <row r="306" spans="2:22" s="829" customFormat="1" ht="180" outlineLevel="1">
      <c r="B306" s="830" t="s">
        <v>2809</v>
      </c>
      <c r="C306" s="830"/>
      <c r="D306" s="830" t="s">
        <v>3172</v>
      </c>
      <c r="E306" s="851" t="s">
        <v>3173</v>
      </c>
      <c r="F306" s="852"/>
      <c r="G306" s="852"/>
      <c r="H306" s="11"/>
      <c r="I306" s="11" t="s">
        <v>299</v>
      </c>
      <c r="J306" s="851" t="s">
        <v>2783</v>
      </c>
      <c r="K306" s="6" t="s">
        <v>2783</v>
      </c>
      <c r="L306" s="851">
        <v>40277.612698286088</v>
      </c>
      <c r="M306" s="833" t="s">
        <v>2810</v>
      </c>
      <c r="N306" s="833" t="s">
        <v>2810</v>
      </c>
      <c r="O306" s="834"/>
      <c r="P306" s="835"/>
      <c r="Q306" s="6"/>
      <c r="R306" s="6"/>
      <c r="S306" s="6"/>
      <c r="T306" s="6"/>
      <c r="U306" s="831"/>
      <c r="V306" s="836"/>
    </row>
    <row r="307" spans="2:22" s="829" customFormat="1" ht="180" outlineLevel="1">
      <c r="B307" s="830" t="s">
        <v>2809</v>
      </c>
      <c r="C307" s="830"/>
      <c r="D307" s="830" t="s">
        <v>3172</v>
      </c>
      <c r="E307" s="851" t="s">
        <v>3173</v>
      </c>
      <c r="F307" s="852"/>
      <c r="G307" s="852"/>
      <c r="H307" s="11"/>
      <c r="I307" s="11" t="s">
        <v>299</v>
      </c>
      <c r="J307" s="851" t="s">
        <v>2783</v>
      </c>
      <c r="K307" s="6" t="s">
        <v>2783</v>
      </c>
      <c r="L307" s="851">
        <v>55169.790317106315</v>
      </c>
      <c r="M307" s="833" t="s">
        <v>2810</v>
      </c>
      <c r="N307" s="833" t="s">
        <v>2810</v>
      </c>
      <c r="O307" s="834"/>
      <c r="P307" s="835"/>
      <c r="Q307" s="6"/>
      <c r="R307" s="6"/>
      <c r="S307" s="6"/>
      <c r="T307" s="6"/>
      <c r="U307" s="831"/>
      <c r="V307" s="836"/>
    </row>
    <row r="308" spans="2:22" s="829" customFormat="1" ht="180" outlineLevel="1">
      <c r="B308" s="830" t="s">
        <v>2809</v>
      </c>
      <c r="C308" s="830"/>
      <c r="D308" s="830" t="s">
        <v>3172</v>
      </c>
      <c r="E308" s="851" t="s">
        <v>3173</v>
      </c>
      <c r="F308" s="852"/>
      <c r="G308" s="852"/>
      <c r="H308" s="11"/>
      <c r="I308" s="11" t="s">
        <v>299</v>
      </c>
      <c r="J308" s="851" t="s">
        <v>2783</v>
      </c>
      <c r="K308" s="6" t="s">
        <v>2783</v>
      </c>
      <c r="L308" s="851">
        <v>64150.918973379441</v>
      </c>
      <c r="M308" s="833" t="s">
        <v>2810</v>
      </c>
      <c r="N308" s="833" t="s">
        <v>2810</v>
      </c>
      <c r="O308" s="834"/>
      <c r="P308" s="835"/>
      <c r="Q308" s="6"/>
      <c r="R308" s="6"/>
      <c r="S308" s="6"/>
      <c r="T308" s="6"/>
      <c r="U308" s="831"/>
      <c r="V308" s="836"/>
    </row>
    <row r="309" spans="2:22" s="829" customFormat="1" ht="180" outlineLevel="1">
      <c r="B309" s="830" t="s">
        <v>2809</v>
      </c>
      <c r="C309" s="830"/>
      <c r="D309" s="830" t="s">
        <v>3172</v>
      </c>
      <c r="E309" s="851" t="s">
        <v>3173</v>
      </c>
      <c r="F309" s="852"/>
      <c r="G309" s="852"/>
      <c r="H309" s="11"/>
      <c r="I309" s="11" t="s">
        <v>299</v>
      </c>
      <c r="J309" s="851" t="s">
        <v>2783</v>
      </c>
      <c r="K309" s="6" t="s">
        <v>2783</v>
      </c>
      <c r="L309" s="851" t="s">
        <v>1489</v>
      </c>
      <c r="M309" s="833" t="s">
        <v>2810</v>
      </c>
      <c r="N309" s="833" t="s">
        <v>2810</v>
      </c>
      <c r="O309" s="834"/>
      <c r="P309" s="835"/>
      <c r="Q309" s="6"/>
      <c r="R309" s="6"/>
      <c r="S309" s="6"/>
      <c r="T309" s="6"/>
      <c r="U309" s="831"/>
      <c r="V309" s="836"/>
    </row>
    <row r="310" spans="2:22" s="829" customFormat="1" ht="180" outlineLevel="1">
      <c r="B310" s="830" t="s">
        <v>2809</v>
      </c>
      <c r="C310" s="830"/>
      <c r="D310" s="830" t="s">
        <v>3172</v>
      </c>
      <c r="E310" s="851" t="s">
        <v>3173</v>
      </c>
      <c r="F310" s="852"/>
      <c r="G310" s="852"/>
      <c r="H310" s="11"/>
      <c r="I310" s="11" t="s">
        <v>299</v>
      </c>
      <c r="J310" s="851" t="s">
        <v>2783</v>
      </c>
      <c r="K310" s="6" t="s">
        <v>2783</v>
      </c>
      <c r="L310" s="851" t="s">
        <v>1489</v>
      </c>
      <c r="M310" s="833" t="s">
        <v>2810</v>
      </c>
      <c r="N310" s="833" t="s">
        <v>2810</v>
      </c>
      <c r="O310" s="834"/>
      <c r="P310" s="835"/>
      <c r="Q310" s="6"/>
      <c r="R310" s="6"/>
      <c r="S310" s="6"/>
      <c r="T310" s="6"/>
      <c r="U310" s="831"/>
      <c r="V310" s="836"/>
    </row>
    <row r="311" spans="2:22" s="829" customFormat="1" ht="180" outlineLevel="1">
      <c r="B311" s="830" t="s">
        <v>2809</v>
      </c>
      <c r="C311" s="830"/>
      <c r="D311" s="830" t="s">
        <v>3172</v>
      </c>
      <c r="E311" s="851" t="s">
        <v>3173</v>
      </c>
      <c r="F311" s="852"/>
      <c r="G311" s="852"/>
      <c r="H311" s="11"/>
      <c r="I311" s="11" t="s">
        <v>299</v>
      </c>
      <c r="J311" s="851" t="s">
        <v>2783</v>
      </c>
      <c r="K311" s="6" t="s">
        <v>2783</v>
      </c>
      <c r="L311" s="851" t="s">
        <v>1489</v>
      </c>
      <c r="M311" s="833" t="s">
        <v>2810</v>
      </c>
      <c r="N311" s="833" t="s">
        <v>2810</v>
      </c>
      <c r="O311" s="834"/>
      <c r="P311" s="835"/>
      <c r="Q311" s="6"/>
      <c r="R311" s="6"/>
      <c r="S311" s="6"/>
      <c r="T311" s="6"/>
      <c r="U311" s="831"/>
      <c r="V311" s="836"/>
    </row>
    <row r="312" spans="2:22" s="829" customFormat="1" ht="180" outlineLevel="1">
      <c r="B312" s="830" t="s">
        <v>2809</v>
      </c>
      <c r="C312" s="830"/>
      <c r="D312" s="830" t="s">
        <v>3172</v>
      </c>
      <c r="E312" s="851" t="s">
        <v>3173</v>
      </c>
      <c r="F312" s="852"/>
      <c r="G312" s="852"/>
      <c r="H312" s="11"/>
      <c r="I312" s="11" t="s">
        <v>299</v>
      </c>
      <c r="J312" s="851" t="s">
        <v>2783</v>
      </c>
      <c r="K312" s="6" t="s">
        <v>2783</v>
      </c>
      <c r="L312" s="851" t="s">
        <v>1489</v>
      </c>
      <c r="M312" s="833" t="s">
        <v>2810</v>
      </c>
      <c r="N312" s="833" t="s">
        <v>2810</v>
      </c>
      <c r="O312" s="834"/>
      <c r="P312" s="835"/>
      <c r="Q312" s="6"/>
      <c r="R312" s="6"/>
      <c r="S312" s="6"/>
      <c r="T312" s="6"/>
      <c r="U312" s="831"/>
      <c r="V312" s="836"/>
    </row>
    <row r="313" spans="2:22" s="829" customFormat="1" ht="180" outlineLevel="1">
      <c r="B313" s="830" t="s">
        <v>2809</v>
      </c>
      <c r="C313" s="830"/>
      <c r="D313" s="830" t="s">
        <v>3172</v>
      </c>
      <c r="E313" s="851" t="s">
        <v>3173</v>
      </c>
      <c r="F313" s="852"/>
      <c r="G313" s="852"/>
      <c r="H313" s="11"/>
      <c r="I313" s="11" t="s">
        <v>299</v>
      </c>
      <c r="J313" s="851" t="s">
        <v>2783</v>
      </c>
      <c r="K313" s="6" t="s">
        <v>2783</v>
      </c>
      <c r="L313" s="851" t="s">
        <v>1489</v>
      </c>
      <c r="M313" s="833" t="s">
        <v>2810</v>
      </c>
      <c r="N313" s="833" t="s">
        <v>2810</v>
      </c>
      <c r="O313" s="834"/>
      <c r="P313" s="835"/>
      <c r="Q313" s="6"/>
      <c r="R313" s="6"/>
      <c r="S313" s="6"/>
      <c r="T313" s="6"/>
      <c r="U313" s="831"/>
      <c r="V313" s="836"/>
    </row>
    <row r="314" spans="2:22" s="829" customFormat="1" ht="180" outlineLevel="1">
      <c r="B314" s="830" t="s">
        <v>2809</v>
      </c>
      <c r="C314" s="830"/>
      <c r="D314" s="830" t="s">
        <v>3172</v>
      </c>
      <c r="E314" s="851" t="s">
        <v>3173</v>
      </c>
      <c r="F314" s="852"/>
      <c r="G314" s="852"/>
      <c r="H314" s="11"/>
      <c r="I314" s="11" t="s">
        <v>299</v>
      </c>
      <c r="J314" s="851" t="s">
        <v>2783</v>
      </c>
      <c r="K314" s="6" t="s">
        <v>2783</v>
      </c>
      <c r="L314" s="851" t="s">
        <v>1489</v>
      </c>
      <c r="M314" s="833" t="s">
        <v>2810</v>
      </c>
      <c r="N314" s="833" t="s">
        <v>2810</v>
      </c>
      <c r="O314" s="834"/>
      <c r="P314" s="835"/>
      <c r="Q314" s="6"/>
      <c r="R314" s="6"/>
      <c r="S314" s="6"/>
      <c r="T314" s="6"/>
      <c r="U314" s="831"/>
      <c r="V314" s="836"/>
    </row>
    <row r="315" spans="2:22" s="829" customFormat="1" ht="180" outlineLevel="1">
      <c r="B315" s="830" t="s">
        <v>2809</v>
      </c>
      <c r="C315" s="830"/>
      <c r="D315" s="830" t="s">
        <v>3172</v>
      </c>
      <c r="E315" s="851" t="s">
        <v>3173</v>
      </c>
      <c r="F315" s="852"/>
      <c r="G315" s="852"/>
      <c r="H315" s="11"/>
      <c r="I315" s="11" t="s">
        <v>299</v>
      </c>
      <c r="J315" s="851" t="s">
        <v>2783</v>
      </c>
      <c r="K315" s="6" t="s">
        <v>2783</v>
      </c>
      <c r="L315" s="851">
        <v>4618.8661660833195</v>
      </c>
      <c r="M315" s="833" t="s">
        <v>2810</v>
      </c>
      <c r="N315" s="833" t="s">
        <v>2810</v>
      </c>
      <c r="O315" s="834"/>
      <c r="P315" s="835"/>
      <c r="Q315" s="6"/>
      <c r="R315" s="6"/>
      <c r="S315" s="6"/>
      <c r="T315" s="6"/>
      <c r="U315" s="831"/>
      <c r="V315" s="836"/>
    </row>
    <row r="316" spans="2:22" s="829" customFormat="1" ht="180" outlineLevel="1">
      <c r="B316" s="830" t="s">
        <v>2809</v>
      </c>
      <c r="C316" s="830"/>
      <c r="D316" s="830" t="s">
        <v>3172</v>
      </c>
      <c r="E316" s="851" t="s">
        <v>3173</v>
      </c>
      <c r="F316" s="852"/>
      <c r="G316" s="852"/>
      <c r="H316" s="11"/>
      <c r="I316" s="11" t="s">
        <v>299</v>
      </c>
      <c r="J316" s="851" t="s">
        <v>2783</v>
      </c>
      <c r="K316" s="6" t="s">
        <v>2783</v>
      </c>
      <c r="L316" s="851">
        <v>6433.4207313303377</v>
      </c>
      <c r="M316" s="833" t="s">
        <v>2810</v>
      </c>
      <c r="N316" s="833" t="s">
        <v>2810</v>
      </c>
      <c r="O316" s="834"/>
      <c r="P316" s="835"/>
      <c r="Q316" s="6"/>
      <c r="R316" s="6"/>
      <c r="S316" s="6"/>
      <c r="T316" s="6"/>
      <c r="U316" s="831"/>
      <c r="V316" s="836"/>
    </row>
    <row r="317" spans="2:22" s="829" customFormat="1" ht="180" outlineLevel="1">
      <c r="B317" s="830" t="s">
        <v>2809</v>
      </c>
      <c r="C317" s="830"/>
      <c r="D317" s="830" t="s">
        <v>3172</v>
      </c>
      <c r="E317" s="851" t="s">
        <v>3173</v>
      </c>
      <c r="F317" s="852"/>
      <c r="G317" s="852"/>
      <c r="H317" s="11"/>
      <c r="I317" s="11" t="s">
        <v>299</v>
      </c>
      <c r="J317" s="851" t="s">
        <v>2783</v>
      </c>
      <c r="K317" s="6" t="s">
        <v>2783</v>
      </c>
      <c r="L317" s="851">
        <v>9688.8866435697855</v>
      </c>
      <c r="M317" s="833" t="s">
        <v>2810</v>
      </c>
      <c r="N317" s="833" t="s">
        <v>2810</v>
      </c>
      <c r="O317" s="834"/>
      <c r="P317" s="835"/>
      <c r="Q317" s="6"/>
      <c r="R317" s="6"/>
      <c r="S317" s="6"/>
      <c r="T317" s="6"/>
      <c r="U317" s="831"/>
      <c r="V317" s="836"/>
    </row>
    <row r="318" spans="2:22" s="829" customFormat="1" ht="180" outlineLevel="1">
      <c r="B318" s="830" t="s">
        <v>2809</v>
      </c>
      <c r="C318" s="830"/>
      <c r="D318" s="830" t="s">
        <v>3172</v>
      </c>
      <c r="E318" s="851" t="s">
        <v>3173</v>
      </c>
      <c r="F318" s="852"/>
      <c r="G318" s="852"/>
      <c r="H318" s="11"/>
      <c r="I318" s="11" t="s">
        <v>299</v>
      </c>
      <c r="J318" s="851" t="s">
        <v>2783</v>
      </c>
      <c r="K318" s="6" t="s">
        <v>2783</v>
      </c>
      <c r="L318" s="851">
        <v>14118.354858398365</v>
      </c>
      <c r="M318" s="833" t="s">
        <v>2810</v>
      </c>
      <c r="N318" s="833" t="s">
        <v>2810</v>
      </c>
      <c r="O318" s="834"/>
      <c r="P318" s="835"/>
      <c r="Q318" s="6"/>
      <c r="R318" s="6"/>
      <c r="S318" s="6"/>
      <c r="T318" s="6"/>
      <c r="U318" s="831"/>
      <c r="V318" s="836"/>
    </row>
    <row r="319" spans="2:22" s="829" customFormat="1" ht="180" outlineLevel="1">
      <c r="B319" s="830" t="s">
        <v>2809</v>
      </c>
      <c r="C319" s="830"/>
      <c r="D319" s="830" t="s">
        <v>3172</v>
      </c>
      <c r="E319" s="851" t="s">
        <v>3173</v>
      </c>
      <c r="F319" s="852"/>
      <c r="G319" s="852"/>
      <c r="H319" s="11"/>
      <c r="I319" s="11" t="s">
        <v>299</v>
      </c>
      <c r="J319" s="851" t="s">
        <v>2783</v>
      </c>
      <c r="K319" s="6" t="s">
        <v>2783</v>
      </c>
      <c r="L319" s="851">
        <v>20581.753170625903</v>
      </c>
      <c r="M319" s="833" t="s">
        <v>2810</v>
      </c>
      <c r="N319" s="833" t="s">
        <v>2810</v>
      </c>
      <c r="O319" s="834"/>
      <c r="P319" s="835"/>
      <c r="Q319" s="6"/>
      <c r="R319" s="6"/>
      <c r="S319" s="6"/>
      <c r="T319" s="6"/>
      <c r="U319" s="831"/>
      <c r="V319" s="836"/>
    </row>
    <row r="320" spans="2:22" s="829" customFormat="1" ht="180" outlineLevel="1">
      <c r="B320" s="830" t="s">
        <v>2809</v>
      </c>
      <c r="C320" s="830"/>
      <c r="D320" s="830" t="s">
        <v>3172</v>
      </c>
      <c r="E320" s="851" t="s">
        <v>3173</v>
      </c>
      <c r="F320" s="852"/>
      <c r="G320" s="852"/>
      <c r="H320" s="11"/>
      <c r="I320" s="11" t="s">
        <v>299</v>
      </c>
      <c r="J320" s="851" t="s">
        <v>2783</v>
      </c>
      <c r="K320" s="6" t="s">
        <v>2783</v>
      </c>
      <c r="L320" s="851">
        <v>25884.895805758606</v>
      </c>
      <c r="M320" s="833" t="s">
        <v>2810</v>
      </c>
      <c r="N320" s="833" t="s">
        <v>2810</v>
      </c>
      <c r="O320" s="834"/>
      <c r="P320" s="835"/>
      <c r="Q320" s="6"/>
      <c r="R320" s="6"/>
      <c r="S320" s="6"/>
      <c r="T320" s="6"/>
      <c r="U320" s="831"/>
      <c r="V320" s="836"/>
    </row>
    <row r="321" spans="2:22" s="829" customFormat="1" ht="180" outlineLevel="1">
      <c r="B321" s="830" t="s">
        <v>2809</v>
      </c>
      <c r="C321" s="830"/>
      <c r="D321" s="830" t="s">
        <v>3172</v>
      </c>
      <c r="E321" s="851" t="s">
        <v>3173</v>
      </c>
      <c r="F321" s="852"/>
      <c r="G321" s="852"/>
      <c r="H321" s="11"/>
      <c r="I321" s="11" t="s">
        <v>299</v>
      </c>
      <c r="J321" s="851" t="s">
        <v>2783</v>
      </c>
      <c r="K321" s="6" t="s">
        <v>2783</v>
      </c>
      <c r="L321" s="851">
        <v>33101.874190263792</v>
      </c>
      <c r="M321" s="833" t="s">
        <v>2810</v>
      </c>
      <c r="N321" s="833" t="s">
        <v>2810</v>
      </c>
      <c r="O321" s="834"/>
      <c r="P321" s="835"/>
      <c r="Q321" s="6"/>
      <c r="R321" s="6"/>
      <c r="S321" s="6"/>
      <c r="T321" s="6"/>
      <c r="U321" s="831"/>
      <c r="V321" s="836"/>
    </row>
    <row r="322" spans="2:22" s="829" customFormat="1" ht="180" outlineLevel="1">
      <c r="B322" s="830" t="s">
        <v>2809</v>
      </c>
      <c r="C322" s="830"/>
      <c r="D322" s="830" t="s">
        <v>3172</v>
      </c>
      <c r="E322" s="851" t="s">
        <v>3173</v>
      </c>
      <c r="F322" s="852"/>
      <c r="G322" s="852"/>
      <c r="H322" s="11"/>
      <c r="I322" s="11" t="s">
        <v>299</v>
      </c>
      <c r="J322" s="851" t="s">
        <v>2783</v>
      </c>
      <c r="K322" s="6" t="s">
        <v>2783</v>
      </c>
      <c r="L322" s="851">
        <v>37252.551193313324</v>
      </c>
      <c r="M322" s="833" t="s">
        <v>2810</v>
      </c>
      <c r="N322" s="833" t="s">
        <v>2810</v>
      </c>
      <c r="O322" s="834"/>
      <c r="P322" s="835"/>
      <c r="Q322" s="6"/>
      <c r="R322" s="6"/>
      <c r="S322" s="6"/>
      <c r="T322" s="6"/>
      <c r="U322" s="831"/>
      <c r="V322" s="836"/>
    </row>
    <row r="323" spans="2:22" s="829" customFormat="1" ht="180" outlineLevel="1">
      <c r="B323" s="830" t="s">
        <v>2809</v>
      </c>
      <c r="C323" s="830"/>
      <c r="D323" s="830" t="s">
        <v>3172</v>
      </c>
      <c r="E323" s="851" t="s">
        <v>3173</v>
      </c>
      <c r="F323" s="852"/>
      <c r="G323" s="852"/>
      <c r="H323" s="11"/>
      <c r="I323" s="11" t="s">
        <v>299</v>
      </c>
      <c r="J323" s="851" t="s">
        <v>2783</v>
      </c>
      <c r="K323" s="6" t="s">
        <v>2783</v>
      </c>
      <c r="L323" s="851">
        <v>44736.825073540924</v>
      </c>
      <c r="M323" s="833" t="s">
        <v>2810</v>
      </c>
      <c r="N323" s="833" t="s">
        <v>2810</v>
      </c>
      <c r="O323" s="834"/>
      <c r="P323" s="835"/>
      <c r="Q323" s="6"/>
      <c r="R323" s="6"/>
      <c r="S323" s="6"/>
      <c r="T323" s="6"/>
      <c r="U323" s="831"/>
      <c r="V323" s="836"/>
    </row>
    <row r="324" spans="2:22" s="829" customFormat="1" ht="180" outlineLevel="1">
      <c r="B324" s="830" t="s">
        <v>2809</v>
      </c>
      <c r="C324" s="830"/>
      <c r="D324" s="830" t="s">
        <v>3172</v>
      </c>
      <c r="E324" s="851" t="s">
        <v>3173</v>
      </c>
      <c r="F324" s="852"/>
      <c r="G324" s="852"/>
      <c r="H324" s="11"/>
      <c r="I324" s="11" t="s">
        <v>299</v>
      </c>
      <c r="J324" s="851" t="s">
        <v>2783</v>
      </c>
      <c r="K324" s="6" t="s">
        <v>2783</v>
      </c>
      <c r="L324" s="851">
        <v>69182.363598742537</v>
      </c>
      <c r="M324" s="833" t="s">
        <v>2810</v>
      </c>
      <c r="N324" s="833" t="s">
        <v>2810</v>
      </c>
      <c r="O324" s="834"/>
      <c r="P324" s="835"/>
      <c r="Q324" s="6"/>
      <c r="R324" s="6"/>
      <c r="S324" s="6"/>
      <c r="T324" s="6"/>
      <c r="U324" s="831"/>
      <c r="V324" s="836"/>
    </row>
    <row r="325" spans="2:22" s="829" customFormat="1" ht="180" outlineLevel="1">
      <c r="B325" s="830" t="s">
        <v>2809</v>
      </c>
      <c r="C325" s="830"/>
      <c r="D325" s="830" t="s">
        <v>3172</v>
      </c>
      <c r="E325" s="851" t="s">
        <v>3173</v>
      </c>
      <c r="F325" s="852"/>
      <c r="G325" s="852"/>
      <c r="H325" s="11"/>
      <c r="I325" s="11" t="s">
        <v>299</v>
      </c>
      <c r="J325" s="851" t="s">
        <v>2783</v>
      </c>
      <c r="K325" s="6" t="s">
        <v>2783</v>
      </c>
      <c r="L325" s="851">
        <v>87558.928929658519</v>
      </c>
      <c r="M325" s="833" t="s">
        <v>2810</v>
      </c>
      <c r="N325" s="833" t="s">
        <v>2810</v>
      </c>
      <c r="O325" s="834"/>
      <c r="P325" s="835"/>
      <c r="Q325" s="6"/>
      <c r="R325" s="6"/>
      <c r="S325" s="6"/>
      <c r="T325" s="6"/>
      <c r="U325" s="831"/>
      <c r="V325" s="836"/>
    </row>
    <row r="326" spans="2:22" s="829" customFormat="1" ht="180" outlineLevel="1">
      <c r="B326" s="830" t="s">
        <v>2809</v>
      </c>
      <c r="C326" s="830"/>
      <c r="D326" s="830" t="s">
        <v>3172</v>
      </c>
      <c r="E326" s="851" t="s">
        <v>3173</v>
      </c>
      <c r="F326" s="852"/>
      <c r="G326" s="852"/>
      <c r="H326" s="11"/>
      <c r="I326" s="11" t="s">
        <v>299</v>
      </c>
      <c r="J326" s="851" t="s">
        <v>2783</v>
      </c>
      <c r="K326" s="6" t="s">
        <v>2783</v>
      </c>
      <c r="L326" s="851">
        <v>93219.304133191996</v>
      </c>
      <c r="M326" s="833" t="s">
        <v>2810</v>
      </c>
      <c r="N326" s="833" t="s">
        <v>2810</v>
      </c>
      <c r="O326" s="834"/>
      <c r="P326" s="835"/>
      <c r="Q326" s="6"/>
      <c r="R326" s="6"/>
      <c r="S326" s="6"/>
      <c r="T326" s="6"/>
      <c r="U326" s="831"/>
      <c r="V326" s="836"/>
    </row>
    <row r="327" spans="2:22" s="829" customFormat="1" ht="180" outlineLevel="1">
      <c r="B327" s="830" t="s">
        <v>2809</v>
      </c>
      <c r="C327" s="830"/>
      <c r="D327" s="830" t="s">
        <v>3172</v>
      </c>
      <c r="E327" s="851" t="s">
        <v>3173</v>
      </c>
      <c r="F327" s="852"/>
      <c r="G327" s="852"/>
      <c r="H327" s="11"/>
      <c r="I327" s="11" t="s">
        <v>299</v>
      </c>
      <c r="J327" s="851" t="s">
        <v>2783</v>
      </c>
      <c r="K327" s="6" t="s">
        <v>2783</v>
      </c>
      <c r="L327" s="851">
        <v>96226.378460069158</v>
      </c>
      <c r="M327" s="833" t="s">
        <v>2810</v>
      </c>
      <c r="N327" s="833" t="s">
        <v>2810</v>
      </c>
      <c r="O327" s="834"/>
      <c r="P327" s="835"/>
      <c r="Q327" s="6"/>
      <c r="R327" s="6"/>
      <c r="S327" s="6"/>
      <c r="T327" s="6"/>
      <c r="U327" s="831"/>
      <c r="V327" s="836"/>
    </row>
    <row r="328" spans="2:22" s="829" customFormat="1" ht="180" outlineLevel="1">
      <c r="B328" s="830" t="s">
        <v>2809</v>
      </c>
      <c r="C328" s="830"/>
      <c r="D328" s="830" t="s">
        <v>3172</v>
      </c>
      <c r="E328" s="851" t="s">
        <v>3173</v>
      </c>
      <c r="F328" s="852"/>
      <c r="G328" s="852"/>
      <c r="H328" s="11"/>
      <c r="I328" s="11" t="s">
        <v>299</v>
      </c>
      <c r="J328" s="851" t="s">
        <v>2783</v>
      </c>
      <c r="K328" s="6" t="s">
        <v>2783</v>
      </c>
      <c r="L328" s="851" t="s">
        <v>1489</v>
      </c>
      <c r="M328" s="833" t="s">
        <v>2810</v>
      </c>
      <c r="N328" s="833" t="s">
        <v>2810</v>
      </c>
      <c r="O328" s="834"/>
      <c r="P328" s="835"/>
      <c r="Q328" s="6"/>
      <c r="R328" s="6"/>
      <c r="S328" s="6"/>
      <c r="T328" s="6"/>
      <c r="U328" s="831"/>
      <c r="V328" s="836"/>
    </row>
    <row r="329" spans="2:22" s="829" customFormat="1" ht="180" outlineLevel="1">
      <c r="B329" s="830" t="s">
        <v>2809</v>
      </c>
      <c r="C329" s="830"/>
      <c r="D329" s="830" t="s">
        <v>3172</v>
      </c>
      <c r="E329" s="851" t="s">
        <v>3173</v>
      </c>
      <c r="F329" s="852"/>
      <c r="G329" s="852"/>
      <c r="H329" s="11"/>
      <c r="I329" s="11" t="s">
        <v>299</v>
      </c>
      <c r="J329" s="851" t="s">
        <v>2783</v>
      </c>
      <c r="K329" s="6" t="s">
        <v>2783</v>
      </c>
      <c r="L329" s="851">
        <v>3912.2153095927724</v>
      </c>
      <c r="M329" s="833" t="s">
        <v>2810</v>
      </c>
      <c r="N329" s="833" t="s">
        <v>2810</v>
      </c>
      <c r="O329" s="834"/>
      <c r="P329" s="835"/>
      <c r="Q329" s="6"/>
      <c r="R329" s="6"/>
      <c r="S329" s="6"/>
      <c r="T329" s="6"/>
      <c r="U329" s="831"/>
      <c r="V329" s="836"/>
    </row>
    <row r="330" spans="2:22" s="829" customFormat="1" ht="180" outlineLevel="1">
      <c r="B330" s="830" t="s">
        <v>2809</v>
      </c>
      <c r="C330" s="830"/>
      <c r="D330" s="830" t="s">
        <v>3172</v>
      </c>
      <c r="E330" s="851" t="s">
        <v>3173</v>
      </c>
      <c r="F330" s="852"/>
      <c r="G330" s="852"/>
      <c r="H330" s="11"/>
      <c r="I330" s="11" t="s">
        <v>299</v>
      </c>
      <c r="J330" s="851" t="s">
        <v>2783</v>
      </c>
      <c r="K330" s="6" t="s">
        <v>2783</v>
      </c>
      <c r="L330" s="851">
        <v>5559.4638610002567</v>
      </c>
      <c r="M330" s="833" t="s">
        <v>2810</v>
      </c>
      <c r="N330" s="833" t="s">
        <v>2810</v>
      </c>
      <c r="O330" s="834"/>
      <c r="P330" s="835"/>
      <c r="Q330" s="6"/>
      <c r="R330" s="6"/>
      <c r="S330" s="6"/>
      <c r="T330" s="6"/>
      <c r="U330" s="831"/>
      <c r="V330" s="836"/>
    </row>
    <row r="331" spans="2:22" s="829" customFormat="1" ht="180" outlineLevel="1">
      <c r="B331" s="830" t="s">
        <v>2809</v>
      </c>
      <c r="C331" s="830"/>
      <c r="D331" s="830" t="s">
        <v>3172</v>
      </c>
      <c r="E331" s="851" t="s">
        <v>3173</v>
      </c>
      <c r="F331" s="852"/>
      <c r="G331" s="852"/>
      <c r="H331" s="11"/>
      <c r="I331" s="11" t="s">
        <v>299</v>
      </c>
      <c r="J331" s="851" t="s">
        <v>2783</v>
      </c>
      <c r="K331" s="6" t="s">
        <v>2783</v>
      </c>
      <c r="L331" s="851">
        <v>8428.9962356575124</v>
      </c>
      <c r="M331" s="833" t="s">
        <v>2810</v>
      </c>
      <c r="N331" s="833" t="s">
        <v>2810</v>
      </c>
      <c r="O331" s="834"/>
      <c r="P331" s="835"/>
      <c r="Q331" s="6"/>
      <c r="R331" s="6"/>
      <c r="S331" s="6"/>
      <c r="T331" s="6"/>
      <c r="U331" s="831"/>
      <c r="V331" s="836"/>
    </row>
    <row r="332" spans="2:22" s="829" customFormat="1" ht="180" outlineLevel="1">
      <c r="B332" s="830" t="s">
        <v>2809</v>
      </c>
      <c r="C332" s="830"/>
      <c r="D332" s="830" t="s">
        <v>3172</v>
      </c>
      <c r="E332" s="851" t="s">
        <v>3173</v>
      </c>
      <c r="F332" s="852"/>
      <c r="G332" s="852"/>
      <c r="H332" s="11"/>
      <c r="I332" s="11" t="s">
        <v>299</v>
      </c>
      <c r="J332" s="851" t="s">
        <v>2783</v>
      </c>
      <c r="K332" s="6" t="s">
        <v>2783</v>
      </c>
      <c r="L332" s="851">
        <v>12128.441940693487</v>
      </c>
      <c r="M332" s="833" t="s">
        <v>2810</v>
      </c>
      <c r="N332" s="833" t="s">
        <v>2810</v>
      </c>
      <c r="O332" s="834"/>
      <c r="P332" s="835"/>
      <c r="Q332" s="6"/>
      <c r="R332" s="6"/>
      <c r="S332" s="6"/>
      <c r="T332" s="6"/>
      <c r="U332" s="831"/>
      <c r="V332" s="836"/>
    </row>
    <row r="333" spans="2:22" s="829" customFormat="1" ht="180" outlineLevel="1">
      <c r="B333" s="830" t="s">
        <v>2809</v>
      </c>
      <c r="C333" s="830"/>
      <c r="D333" s="830" t="s">
        <v>3172</v>
      </c>
      <c r="E333" s="851" t="s">
        <v>3173</v>
      </c>
      <c r="F333" s="852"/>
      <c r="G333" s="852"/>
      <c r="H333" s="11"/>
      <c r="I333" s="11" t="s">
        <v>299</v>
      </c>
      <c r="J333" s="851" t="s">
        <v>2783</v>
      </c>
      <c r="K333" s="6" t="s">
        <v>2783</v>
      </c>
      <c r="L333" s="851">
        <v>15860.772900974036</v>
      </c>
      <c r="M333" s="833" t="s">
        <v>2810</v>
      </c>
      <c r="N333" s="833" t="s">
        <v>2810</v>
      </c>
      <c r="O333" s="834"/>
      <c r="P333" s="835"/>
      <c r="Q333" s="6"/>
      <c r="R333" s="6"/>
      <c r="S333" s="6"/>
      <c r="T333" s="6"/>
      <c r="U333" s="831"/>
      <c r="V333" s="836"/>
    </row>
    <row r="334" spans="2:22" s="829" customFormat="1" ht="180" outlineLevel="1">
      <c r="B334" s="830" t="s">
        <v>2809</v>
      </c>
      <c r="C334" s="830"/>
      <c r="D334" s="830" t="s">
        <v>3172</v>
      </c>
      <c r="E334" s="851" t="s">
        <v>3173</v>
      </c>
      <c r="F334" s="852"/>
      <c r="G334" s="852"/>
      <c r="H334" s="11"/>
      <c r="I334" s="11" t="s">
        <v>299</v>
      </c>
      <c r="J334" s="851" t="s">
        <v>2783</v>
      </c>
      <c r="K334" s="6" t="s">
        <v>2783</v>
      </c>
      <c r="L334" s="851">
        <v>18577.058977715678</v>
      </c>
      <c r="M334" s="833" t="s">
        <v>2810</v>
      </c>
      <c r="N334" s="833" t="s">
        <v>2810</v>
      </c>
      <c r="O334" s="834"/>
      <c r="P334" s="835"/>
      <c r="Q334" s="6"/>
      <c r="R334" s="6"/>
      <c r="S334" s="6"/>
      <c r="T334" s="6"/>
      <c r="U334" s="831"/>
      <c r="V334" s="836"/>
    </row>
    <row r="335" spans="2:22" s="829" customFormat="1" ht="180" outlineLevel="1">
      <c r="B335" s="830" t="s">
        <v>2809</v>
      </c>
      <c r="C335" s="830"/>
      <c r="D335" s="830" t="s">
        <v>3172</v>
      </c>
      <c r="E335" s="851" t="s">
        <v>3173</v>
      </c>
      <c r="F335" s="852"/>
      <c r="G335" s="852"/>
      <c r="H335" s="11"/>
      <c r="I335" s="11" t="s">
        <v>299</v>
      </c>
      <c r="J335" s="851" t="s">
        <v>2783</v>
      </c>
      <c r="K335" s="6" t="s">
        <v>2783</v>
      </c>
      <c r="L335" s="851">
        <v>23059.805686624066</v>
      </c>
      <c r="M335" s="833" t="s">
        <v>2810</v>
      </c>
      <c r="N335" s="833" t="s">
        <v>2810</v>
      </c>
      <c r="O335" s="834"/>
      <c r="P335" s="835"/>
      <c r="Q335" s="6"/>
      <c r="R335" s="6"/>
      <c r="S335" s="6"/>
      <c r="T335" s="6"/>
      <c r="U335" s="831"/>
      <c r="V335" s="836"/>
    </row>
    <row r="336" spans="2:22" s="829" customFormat="1" ht="180" outlineLevel="1">
      <c r="B336" s="830" t="s">
        <v>2809</v>
      </c>
      <c r="C336" s="830"/>
      <c r="D336" s="830" t="s">
        <v>3172</v>
      </c>
      <c r="E336" s="851" t="s">
        <v>3173</v>
      </c>
      <c r="F336" s="852"/>
      <c r="G336" s="852"/>
      <c r="H336" s="11"/>
      <c r="I336" s="11" t="s">
        <v>299</v>
      </c>
      <c r="J336" s="851" t="s">
        <v>2783</v>
      </c>
      <c r="K336" s="6" t="s">
        <v>2783</v>
      </c>
      <c r="L336" s="851">
        <v>28415.03751177909</v>
      </c>
      <c r="M336" s="833" t="s">
        <v>2810</v>
      </c>
      <c r="N336" s="833" t="s">
        <v>2810</v>
      </c>
      <c r="O336" s="834"/>
      <c r="P336" s="835"/>
      <c r="Q336" s="6"/>
      <c r="R336" s="6"/>
      <c r="S336" s="6"/>
      <c r="T336" s="6"/>
      <c r="U336" s="831"/>
      <c r="V336" s="836"/>
    </row>
    <row r="337" spans="2:22" s="829" customFormat="1" ht="180" outlineLevel="1">
      <c r="B337" s="830" t="s">
        <v>2809</v>
      </c>
      <c r="C337" s="830"/>
      <c r="D337" s="830" t="s">
        <v>3172</v>
      </c>
      <c r="E337" s="851" t="s">
        <v>3173</v>
      </c>
      <c r="F337" s="852"/>
      <c r="G337" s="852"/>
      <c r="H337" s="11"/>
      <c r="I337" s="11" t="s">
        <v>299</v>
      </c>
      <c r="J337" s="851" t="s">
        <v>2783</v>
      </c>
      <c r="K337" s="6" t="s">
        <v>2783</v>
      </c>
      <c r="L337" s="851">
        <v>31602.768504780615</v>
      </c>
      <c r="M337" s="833" t="s">
        <v>2810</v>
      </c>
      <c r="N337" s="833" t="s">
        <v>2810</v>
      </c>
      <c r="O337" s="834"/>
      <c r="P337" s="835"/>
      <c r="Q337" s="6"/>
      <c r="R337" s="6"/>
      <c r="S337" s="6"/>
      <c r="T337" s="6"/>
      <c r="U337" s="831"/>
      <c r="V337" s="836"/>
    </row>
    <row r="338" spans="2:22" s="829" customFormat="1" ht="180" outlineLevel="1">
      <c r="B338" s="830" t="s">
        <v>2809</v>
      </c>
      <c r="C338" s="830"/>
      <c r="D338" s="830" t="s">
        <v>3172</v>
      </c>
      <c r="E338" s="851" t="s">
        <v>3173</v>
      </c>
      <c r="F338" s="852"/>
      <c r="G338" s="852"/>
      <c r="H338" s="11"/>
      <c r="I338" s="11" t="s">
        <v>299</v>
      </c>
      <c r="J338" s="851" t="s">
        <v>2783</v>
      </c>
      <c r="K338" s="6" t="s">
        <v>2783</v>
      </c>
      <c r="L338" s="851">
        <v>42003.04367249061</v>
      </c>
      <c r="M338" s="833" t="s">
        <v>2810</v>
      </c>
      <c r="N338" s="833" t="s">
        <v>2810</v>
      </c>
      <c r="O338" s="834"/>
      <c r="P338" s="835"/>
      <c r="Q338" s="6"/>
      <c r="R338" s="6"/>
      <c r="S338" s="6"/>
      <c r="T338" s="6"/>
      <c r="U338" s="831"/>
      <c r="V338" s="836"/>
    </row>
    <row r="339" spans="2:22" s="829" customFormat="1" ht="180" outlineLevel="1">
      <c r="B339" s="830" t="s">
        <v>2809</v>
      </c>
      <c r="C339" s="830"/>
      <c r="D339" s="830" t="s">
        <v>3172</v>
      </c>
      <c r="E339" s="851" t="s">
        <v>3173</v>
      </c>
      <c r="F339" s="852"/>
      <c r="G339" s="852"/>
      <c r="H339" s="11"/>
      <c r="I339" s="11" t="s">
        <v>299</v>
      </c>
      <c r="J339" s="851" t="s">
        <v>2783</v>
      </c>
      <c r="K339" s="6" t="s">
        <v>2783</v>
      </c>
      <c r="L339" s="851">
        <v>53160.102147995931</v>
      </c>
      <c r="M339" s="833" t="s">
        <v>2810</v>
      </c>
      <c r="N339" s="833" t="s">
        <v>2810</v>
      </c>
      <c r="O339" s="834"/>
      <c r="P339" s="835"/>
      <c r="Q339" s="6"/>
      <c r="R339" s="6"/>
      <c r="S339" s="6"/>
      <c r="T339" s="6"/>
      <c r="U339" s="831"/>
      <c r="V339" s="836"/>
    </row>
    <row r="340" spans="2:22" s="829" customFormat="1" ht="180" outlineLevel="1">
      <c r="B340" s="830" t="s">
        <v>2809</v>
      </c>
      <c r="C340" s="830"/>
      <c r="D340" s="830" t="s">
        <v>3172</v>
      </c>
      <c r="E340" s="851" t="s">
        <v>3173</v>
      </c>
      <c r="F340" s="852"/>
      <c r="G340" s="852"/>
      <c r="H340" s="11"/>
      <c r="I340" s="11" t="s">
        <v>299</v>
      </c>
      <c r="J340" s="851" t="s">
        <v>2783</v>
      </c>
      <c r="K340" s="6" t="s">
        <v>2783</v>
      </c>
      <c r="L340" s="851">
        <v>56596.714812108796</v>
      </c>
      <c r="M340" s="833" t="s">
        <v>2810</v>
      </c>
      <c r="N340" s="833" t="s">
        <v>2810</v>
      </c>
      <c r="O340" s="834"/>
      <c r="P340" s="835"/>
      <c r="Q340" s="6"/>
      <c r="R340" s="6"/>
      <c r="S340" s="6"/>
      <c r="T340" s="6"/>
      <c r="U340" s="831"/>
      <c r="V340" s="836"/>
    </row>
    <row r="341" spans="2:22" s="829" customFormat="1" ht="180" outlineLevel="1">
      <c r="B341" s="830" t="s">
        <v>2809</v>
      </c>
      <c r="C341" s="830"/>
      <c r="D341" s="830" t="s">
        <v>3172</v>
      </c>
      <c r="E341" s="851" t="s">
        <v>3173</v>
      </c>
      <c r="F341" s="852"/>
      <c r="G341" s="852"/>
      <c r="H341" s="11"/>
      <c r="I341" s="11" t="s">
        <v>299</v>
      </c>
      <c r="J341" s="851" t="s">
        <v>2783</v>
      </c>
      <c r="K341" s="6" t="s">
        <v>2783</v>
      </c>
      <c r="L341" s="851">
        <v>65244.769706998079</v>
      </c>
      <c r="M341" s="833" t="s">
        <v>2810</v>
      </c>
      <c r="N341" s="833" t="s">
        <v>2810</v>
      </c>
      <c r="O341" s="834"/>
      <c r="P341" s="835"/>
      <c r="Q341" s="6"/>
      <c r="R341" s="6"/>
      <c r="S341" s="6"/>
      <c r="T341" s="6"/>
      <c r="U341" s="831"/>
      <c r="V341" s="836"/>
    </row>
    <row r="342" spans="2:22" s="829" customFormat="1" ht="180" outlineLevel="1">
      <c r="B342" s="830" t="s">
        <v>2809</v>
      </c>
      <c r="C342" s="830"/>
      <c r="D342" s="830" t="s">
        <v>3172</v>
      </c>
      <c r="E342" s="851" t="s">
        <v>3173</v>
      </c>
      <c r="F342" s="852"/>
      <c r="G342" s="852"/>
      <c r="H342" s="11"/>
      <c r="I342" s="11" t="s">
        <v>299</v>
      </c>
      <c r="J342" s="851" t="s">
        <v>2783</v>
      </c>
      <c r="K342" s="6" t="s">
        <v>2783</v>
      </c>
      <c r="L342" s="851">
        <v>72067.124124077411</v>
      </c>
      <c r="M342" s="833" t="s">
        <v>2810</v>
      </c>
      <c r="N342" s="833" t="s">
        <v>2810</v>
      </c>
      <c r="O342" s="834"/>
      <c r="P342" s="835"/>
      <c r="Q342" s="6"/>
      <c r="R342" s="6"/>
      <c r="S342" s="6"/>
      <c r="T342" s="6"/>
      <c r="U342" s="831"/>
      <c r="V342" s="836"/>
    </row>
    <row r="343" spans="2:22" s="829" customFormat="1" ht="180" outlineLevel="1">
      <c r="B343" s="830" t="s">
        <v>2809</v>
      </c>
      <c r="C343" s="830"/>
      <c r="D343" s="830" t="s">
        <v>3172</v>
      </c>
      <c r="E343" s="851" t="s">
        <v>3173</v>
      </c>
      <c r="F343" s="852"/>
      <c r="G343" s="852"/>
      <c r="H343" s="11"/>
      <c r="I343" s="11" t="s">
        <v>299</v>
      </c>
      <c r="J343" s="851" t="s">
        <v>2783</v>
      </c>
      <c r="K343" s="6" t="s">
        <v>2783</v>
      </c>
      <c r="L343" s="851">
        <v>3484.9553280133155</v>
      </c>
      <c r="M343" s="833" t="s">
        <v>2810</v>
      </c>
      <c r="N343" s="833" t="s">
        <v>2810</v>
      </c>
      <c r="O343" s="834"/>
      <c r="P343" s="835"/>
      <c r="Q343" s="6"/>
      <c r="R343" s="6"/>
      <c r="S343" s="6"/>
      <c r="T343" s="6"/>
      <c r="U343" s="831"/>
      <c r="V343" s="836"/>
    </row>
    <row r="344" spans="2:22" s="829" customFormat="1" ht="180" outlineLevel="1">
      <c r="B344" s="830" t="s">
        <v>2809</v>
      </c>
      <c r="C344" s="830"/>
      <c r="D344" s="830" t="s">
        <v>3172</v>
      </c>
      <c r="E344" s="851" t="s">
        <v>3173</v>
      </c>
      <c r="F344" s="852"/>
      <c r="G344" s="852"/>
      <c r="H344" s="11"/>
      <c r="I344" s="11" t="s">
        <v>299</v>
      </c>
      <c r="J344" s="851" t="s">
        <v>2783</v>
      </c>
      <c r="K344" s="6" t="s">
        <v>2783</v>
      </c>
      <c r="L344" s="851">
        <v>5227.4329920199734</v>
      </c>
      <c r="M344" s="833" t="s">
        <v>2810</v>
      </c>
      <c r="N344" s="833" t="s">
        <v>2810</v>
      </c>
      <c r="O344" s="834"/>
      <c r="P344" s="835"/>
      <c r="Q344" s="6"/>
      <c r="R344" s="6"/>
      <c r="S344" s="6"/>
      <c r="T344" s="6"/>
      <c r="U344" s="831"/>
      <c r="V344" s="836"/>
    </row>
    <row r="345" spans="2:22" s="829" customFormat="1" ht="180" outlineLevel="1">
      <c r="B345" s="830" t="s">
        <v>2809</v>
      </c>
      <c r="C345" s="830"/>
      <c r="D345" s="830" t="s">
        <v>3172</v>
      </c>
      <c r="E345" s="851" t="s">
        <v>3173</v>
      </c>
      <c r="F345" s="852"/>
      <c r="G345" s="852"/>
      <c r="H345" s="11"/>
      <c r="I345" s="11" t="s">
        <v>299</v>
      </c>
      <c r="J345" s="851" t="s">
        <v>2783</v>
      </c>
      <c r="K345" s="6" t="s">
        <v>2783</v>
      </c>
      <c r="L345" s="851">
        <v>8131.562432031069</v>
      </c>
      <c r="M345" s="833" t="s">
        <v>2810</v>
      </c>
      <c r="N345" s="833" t="s">
        <v>2810</v>
      </c>
      <c r="O345" s="834"/>
      <c r="P345" s="835"/>
      <c r="Q345" s="6"/>
      <c r="R345" s="6"/>
      <c r="S345" s="6"/>
      <c r="T345" s="6"/>
      <c r="U345" s="831"/>
      <c r="V345" s="836"/>
    </row>
    <row r="346" spans="2:22" s="829" customFormat="1" ht="180" outlineLevel="1">
      <c r="B346" s="830" t="s">
        <v>2809</v>
      </c>
      <c r="C346" s="830"/>
      <c r="D346" s="830" t="s">
        <v>3172</v>
      </c>
      <c r="E346" s="851" t="s">
        <v>3173</v>
      </c>
      <c r="F346" s="852"/>
      <c r="G346" s="852"/>
      <c r="H346" s="11"/>
      <c r="I346" s="11" t="s">
        <v>299</v>
      </c>
      <c r="J346" s="851" t="s">
        <v>2783</v>
      </c>
      <c r="K346" s="6" t="s">
        <v>2783</v>
      </c>
      <c r="L346" s="851">
        <v>11616.517760044386</v>
      </c>
      <c r="M346" s="833" t="s">
        <v>2810</v>
      </c>
      <c r="N346" s="833" t="s">
        <v>2810</v>
      </c>
      <c r="O346" s="834"/>
      <c r="P346" s="835"/>
      <c r="Q346" s="6"/>
      <c r="R346" s="6"/>
      <c r="S346" s="6"/>
      <c r="T346" s="6"/>
      <c r="U346" s="831"/>
      <c r="V346" s="836"/>
    </row>
    <row r="347" spans="2:22" s="829" customFormat="1" ht="180" outlineLevel="1">
      <c r="B347" s="830" t="s">
        <v>2809</v>
      </c>
      <c r="C347" s="830"/>
      <c r="D347" s="830" t="s">
        <v>3172</v>
      </c>
      <c r="E347" s="851" t="s">
        <v>3173</v>
      </c>
      <c r="F347" s="852"/>
      <c r="G347" s="852"/>
      <c r="H347" s="11"/>
      <c r="I347" s="11" t="s">
        <v>299</v>
      </c>
      <c r="J347" s="851" t="s">
        <v>2783</v>
      </c>
      <c r="K347" s="6" t="s">
        <v>2783</v>
      </c>
      <c r="L347" s="851">
        <v>15682.298976059919</v>
      </c>
      <c r="M347" s="833" t="s">
        <v>2810</v>
      </c>
      <c r="N347" s="833" t="s">
        <v>2810</v>
      </c>
      <c r="O347" s="834"/>
      <c r="P347" s="835"/>
      <c r="Q347" s="6"/>
      <c r="R347" s="6"/>
      <c r="S347" s="6"/>
      <c r="T347" s="6"/>
      <c r="U347" s="831"/>
      <c r="V347" s="836"/>
    </row>
    <row r="348" spans="2:22" s="829" customFormat="1" ht="25.5" outlineLevel="1">
      <c r="B348" s="830" t="s">
        <v>2809</v>
      </c>
      <c r="C348" s="830"/>
      <c r="D348" s="830" t="s">
        <v>3172</v>
      </c>
      <c r="E348" s="851"/>
      <c r="F348" s="852"/>
      <c r="G348" s="852"/>
      <c r="H348" s="11"/>
      <c r="I348" s="11" t="s">
        <v>299</v>
      </c>
      <c r="J348" s="851" t="s">
        <v>2783</v>
      </c>
      <c r="K348" s="6" t="s">
        <v>2783</v>
      </c>
      <c r="L348" s="851">
        <v>19167.254304073234</v>
      </c>
      <c r="M348" s="833" t="s">
        <v>2810</v>
      </c>
      <c r="N348" s="833" t="s">
        <v>2810</v>
      </c>
      <c r="O348" s="834"/>
      <c r="P348" s="835"/>
      <c r="Q348" s="6"/>
      <c r="R348" s="6"/>
      <c r="S348" s="6"/>
      <c r="T348" s="6"/>
      <c r="U348" s="831"/>
      <c r="V348" s="836"/>
    </row>
    <row r="349" spans="2:22" s="829" customFormat="1" ht="180" outlineLevel="1">
      <c r="B349" s="830" t="s">
        <v>2809</v>
      </c>
      <c r="C349" s="830"/>
      <c r="D349" s="830" t="s">
        <v>3172</v>
      </c>
      <c r="E349" s="851" t="s">
        <v>3173</v>
      </c>
      <c r="F349" s="852"/>
      <c r="G349" s="852"/>
      <c r="H349" s="11"/>
      <c r="I349" s="11" t="s">
        <v>299</v>
      </c>
      <c r="J349" s="851" t="s">
        <v>2783</v>
      </c>
      <c r="K349" s="6" t="s">
        <v>2783</v>
      </c>
      <c r="L349" s="851">
        <v>24394.687296093209</v>
      </c>
      <c r="M349" s="833" t="s">
        <v>2810</v>
      </c>
      <c r="N349" s="833" t="s">
        <v>2810</v>
      </c>
      <c r="O349" s="834"/>
      <c r="P349" s="835"/>
      <c r="Q349" s="6"/>
      <c r="R349" s="6"/>
      <c r="S349" s="6"/>
      <c r="T349" s="6"/>
      <c r="U349" s="831"/>
      <c r="V349" s="836"/>
    </row>
    <row r="350" spans="2:22" s="829" customFormat="1" ht="180" outlineLevel="1">
      <c r="B350" s="830" t="s">
        <v>2809</v>
      </c>
      <c r="C350" s="830"/>
      <c r="D350" s="830" t="s">
        <v>3172</v>
      </c>
      <c r="E350" s="851" t="s">
        <v>3173</v>
      </c>
      <c r="F350" s="852"/>
      <c r="G350" s="852"/>
      <c r="H350" s="11"/>
      <c r="I350" s="11" t="s">
        <v>299</v>
      </c>
      <c r="J350" s="851" t="s">
        <v>2783</v>
      </c>
      <c r="K350" s="6" t="s">
        <v>2783</v>
      </c>
      <c r="L350" s="851">
        <v>28613.317430004066</v>
      </c>
      <c r="M350" s="833" t="s">
        <v>2810</v>
      </c>
      <c r="N350" s="833" t="s">
        <v>2810</v>
      </c>
      <c r="O350" s="834"/>
      <c r="P350" s="835"/>
      <c r="Q350" s="6"/>
      <c r="R350" s="6"/>
      <c r="S350" s="6"/>
      <c r="T350" s="6"/>
      <c r="U350" s="831"/>
      <c r="V350" s="836"/>
    </row>
    <row r="351" spans="2:22" s="829" customFormat="1" ht="180" outlineLevel="1">
      <c r="B351" s="830" t="s">
        <v>2809</v>
      </c>
      <c r="C351" s="830"/>
      <c r="D351" s="830" t="s">
        <v>3172</v>
      </c>
      <c r="E351" s="851" t="s">
        <v>3173</v>
      </c>
      <c r="F351" s="852"/>
      <c r="G351" s="852"/>
      <c r="H351" s="11"/>
      <c r="I351" s="11" t="s">
        <v>299</v>
      </c>
      <c r="J351" s="851" t="s">
        <v>2783</v>
      </c>
      <c r="K351" s="6" t="s">
        <v>2783</v>
      </c>
      <c r="L351" s="851">
        <v>30162.186464676652</v>
      </c>
      <c r="M351" s="833" t="s">
        <v>2810</v>
      </c>
      <c r="N351" s="833" t="s">
        <v>2810</v>
      </c>
      <c r="O351" s="834"/>
      <c r="P351" s="835"/>
      <c r="Q351" s="6"/>
      <c r="R351" s="6"/>
      <c r="S351" s="6"/>
      <c r="T351" s="6"/>
      <c r="U351" s="831"/>
      <c r="V351" s="836"/>
    </row>
    <row r="352" spans="2:22" s="829" customFormat="1" ht="180" outlineLevel="1">
      <c r="B352" s="830" t="s">
        <v>2809</v>
      </c>
      <c r="C352" s="830"/>
      <c r="D352" s="830" t="s">
        <v>3172</v>
      </c>
      <c r="E352" s="851" t="s">
        <v>3173</v>
      </c>
      <c r="F352" s="852"/>
      <c r="G352" s="852"/>
      <c r="H352" s="11"/>
      <c r="I352" s="11" t="s">
        <v>299</v>
      </c>
      <c r="J352" s="851" t="s">
        <v>2783</v>
      </c>
      <c r="K352" s="6" t="s">
        <v>2783</v>
      </c>
      <c r="L352" s="851">
        <v>40088.375015055135</v>
      </c>
      <c r="M352" s="833" t="s">
        <v>2810</v>
      </c>
      <c r="N352" s="833" t="s">
        <v>2810</v>
      </c>
      <c r="O352" s="834"/>
      <c r="P352" s="835"/>
      <c r="Q352" s="6"/>
      <c r="R352" s="6"/>
      <c r="S352" s="6"/>
      <c r="T352" s="6"/>
      <c r="U352" s="831"/>
      <c r="V352" s="836"/>
    </row>
    <row r="353" spans="2:22" s="829" customFormat="1" ht="180" outlineLevel="1">
      <c r="B353" s="830" t="s">
        <v>2809</v>
      </c>
      <c r="C353" s="830"/>
      <c r="D353" s="830" t="s">
        <v>3172</v>
      </c>
      <c r="E353" s="851" t="s">
        <v>3173</v>
      </c>
      <c r="F353" s="852"/>
      <c r="G353" s="852"/>
      <c r="H353" s="11"/>
      <c r="I353" s="11" t="s">
        <v>299</v>
      </c>
      <c r="J353" s="851" t="s">
        <v>2783</v>
      </c>
      <c r="K353" s="6" t="s">
        <v>2783</v>
      </c>
      <c r="L353" s="851">
        <v>50736.849628429147</v>
      </c>
      <c r="M353" s="833" t="s">
        <v>2810</v>
      </c>
      <c r="N353" s="833" t="s">
        <v>2810</v>
      </c>
      <c r="O353" s="834"/>
      <c r="P353" s="835"/>
      <c r="Q353" s="6"/>
      <c r="R353" s="6"/>
      <c r="S353" s="6"/>
      <c r="T353" s="6"/>
      <c r="U353" s="831"/>
      <c r="V353" s="836"/>
    </row>
    <row r="354" spans="2:22" s="829" customFormat="1" ht="180" outlineLevel="1">
      <c r="B354" s="830" t="s">
        <v>2809</v>
      </c>
      <c r="C354" s="830"/>
      <c r="D354" s="830" t="s">
        <v>3172</v>
      </c>
      <c r="E354" s="851" t="s">
        <v>3173</v>
      </c>
      <c r="F354" s="852"/>
      <c r="G354" s="852"/>
      <c r="H354" s="11"/>
      <c r="I354" s="11" t="s">
        <v>299</v>
      </c>
      <c r="J354" s="851" t="s">
        <v>2783</v>
      </c>
      <c r="K354" s="6" t="s">
        <v>2783</v>
      </c>
      <c r="L354" s="851">
        <v>54016.807584206384</v>
      </c>
      <c r="M354" s="833" t="s">
        <v>2810</v>
      </c>
      <c r="N354" s="833" t="s">
        <v>2810</v>
      </c>
      <c r="O354" s="834"/>
      <c r="P354" s="835"/>
      <c r="Q354" s="6"/>
      <c r="R354" s="6"/>
      <c r="S354" s="6"/>
      <c r="T354" s="6"/>
      <c r="U354" s="831"/>
      <c r="V354" s="836"/>
    </row>
    <row r="355" spans="2:22" s="829" customFormat="1" ht="180" outlineLevel="1">
      <c r="B355" s="830" t="s">
        <v>2809</v>
      </c>
      <c r="C355" s="830"/>
      <c r="D355" s="830" t="s">
        <v>3172</v>
      </c>
      <c r="E355" s="851" t="s">
        <v>3173</v>
      </c>
      <c r="F355" s="852"/>
      <c r="G355" s="852"/>
      <c r="H355" s="11"/>
      <c r="I355" s="11" t="s">
        <v>299</v>
      </c>
      <c r="J355" s="851" t="s">
        <v>2783</v>
      </c>
      <c r="K355" s="6" t="s">
        <v>2783</v>
      </c>
      <c r="L355" s="851">
        <v>64563.382918983523</v>
      </c>
      <c r="M355" s="833" t="s">
        <v>2810</v>
      </c>
      <c r="N355" s="833" t="s">
        <v>2810</v>
      </c>
      <c r="O355" s="834"/>
      <c r="P355" s="835"/>
      <c r="Q355" s="6"/>
      <c r="R355" s="6"/>
      <c r="S355" s="6"/>
      <c r="T355" s="6"/>
      <c r="U355" s="831"/>
      <c r="V355" s="836"/>
    </row>
    <row r="356" spans="2:22" s="829" customFormat="1" ht="180" outlineLevel="1">
      <c r="B356" s="830" t="s">
        <v>2809</v>
      </c>
      <c r="C356" s="830"/>
      <c r="D356" s="830" t="s">
        <v>3172</v>
      </c>
      <c r="E356" s="851" t="s">
        <v>3173</v>
      </c>
      <c r="F356" s="852"/>
      <c r="G356" s="852"/>
      <c r="H356" s="11"/>
      <c r="I356" s="11" t="s">
        <v>299</v>
      </c>
      <c r="J356" s="851" t="s">
        <v>2783</v>
      </c>
      <c r="K356" s="6" t="s">
        <v>2783</v>
      </c>
      <c r="L356" s="851">
        <v>73367.480589754006</v>
      </c>
      <c r="M356" s="833" t="s">
        <v>2810</v>
      </c>
      <c r="N356" s="833" t="s">
        <v>2810</v>
      </c>
      <c r="O356" s="834"/>
      <c r="P356" s="835"/>
      <c r="Q356" s="6"/>
      <c r="R356" s="6"/>
      <c r="S356" s="6"/>
      <c r="T356" s="6"/>
      <c r="U356" s="831"/>
      <c r="V356" s="836"/>
    </row>
    <row r="357" spans="2:22" s="829" customFormat="1" ht="180" outlineLevel="1">
      <c r="B357" s="830" t="s">
        <v>2809</v>
      </c>
      <c r="C357" s="830"/>
      <c r="D357" s="830" t="s">
        <v>3172</v>
      </c>
      <c r="E357" s="851" t="s">
        <v>3173</v>
      </c>
      <c r="F357" s="852"/>
      <c r="G357" s="852"/>
      <c r="H357" s="11"/>
      <c r="I357" s="11" t="s">
        <v>1737</v>
      </c>
      <c r="J357" s="851" t="s">
        <v>2783</v>
      </c>
      <c r="K357" s="6" t="s">
        <v>2783</v>
      </c>
      <c r="L357" s="851">
        <v>0.99788583509513729</v>
      </c>
      <c r="M357" s="833" t="s">
        <v>2810</v>
      </c>
      <c r="N357" s="833" t="s">
        <v>2810</v>
      </c>
      <c r="O357" s="834"/>
      <c r="P357" s="835"/>
      <c r="Q357" s="6"/>
      <c r="R357" s="6"/>
      <c r="S357" s="6"/>
      <c r="T357" s="6"/>
      <c r="U357" s="831"/>
      <c r="V357" s="836"/>
    </row>
    <row r="358" spans="2:22" s="829" customFormat="1" ht="180" outlineLevel="1">
      <c r="B358" s="830" t="s">
        <v>2809</v>
      </c>
      <c r="C358" s="830"/>
      <c r="D358" s="830" t="s">
        <v>3172</v>
      </c>
      <c r="E358" s="851" t="s">
        <v>3173</v>
      </c>
      <c r="F358" s="852"/>
      <c r="G358" s="852"/>
      <c r="H358" s="11"/>
      <c r="I358" s="11" t="s">
        <v>1737</v>
      </c>
      <c r="J358" s="851" t="s">
        <v>2783</v>
      </c>
      <c r="K358" s="6" t="s">
        <v>2783</v>
      </c>
      <c r="L358" s="851">
        <v>1.5949576529035687</v>
      </c>
      <c r="M358" s="833" t="s">
        <v>2810</v>
      </c>
      <c r="N358" s="833" t="s">
        <v>2810</v>
      </c>
      <c r="O358" s="834"/>
      <c r="P358" s="835"/>
      <c r="Q358" s="6"/>
      <c r="R358" s="6"/>
      <c r="S358" s="6"/>
      <c r="T358" s="6"/>
      <c r="U358" s="831"/>
      <c r="V358" s="836"/>
    </row>
    <row r="359" spans="2:22" s="829" customFormat="1" ht="180" outlineLevel="1">
      <c r="B359" s="830" t="s">
        <v>2809</v>
      </c>
      <c r="C359" s="830"/>
      <c r="D359" s="830" t="s">
        <v>3172</v>
      </c>
      <c r="E359" s="851" t="s">
        <v>3173</v>
      </c>
      <c r="F359" s="852"/>
      <c r="G359" s="852"/>
      <c r="H359" s="11"/>
      <c r="I359" s="11" t="s">
        <v>1737</v>
      </c>
      <c r="J359" s="851" t="s">
        <v>2783</v>
      </c>
      <c r="K359" s="6" t="s">
        <v>2783</v>
      </c>
      <c r="L359" s="851">
        <v>2.5233827627963725</v>
      </c>
      <c r="M359" s="833" t="s">
        <v>2810</v>
      </c>
      <c r="N359" s="833" t="s">
        <v>2810</v>
      </c>
      <c r="O359" s="834"/>
      <c r="P359" s="835"/>
      <c r="Q359" s="6"/>
      <c r="R359" s="6"/>
      <c r="S359" s="6"/>
      <c r="T359" s="6"/>
      <c r="U359" s="831"/>
      <c r="V359" s="836"/>
    </row>
    <row r="360" spans="2:22" s="829" customFormat="1" ht="180" outlineLevel="1">
      <c r="B360" s="830" t="s">
        <v>2809</v>
      </c>
      <c r="C360" s="830"/>
      <c r="D360" s="830" t="s">
        <v>3172</v>
      </c>
      <c r="E360" s="851" t="s">
        <v>3173</v>
      </c>
      <c r="F360" s="852"/>
      <c r="G360" s="852"/>
      <c r="H360" s="11"/>
      <c r="I360" s="11" t="s">
        <v>1737</v>
      </c>
      <c r="J360" s="851" t="s">
        <v>2783</v>
      </c>
      <c r="K360" s="6" t="s">
        <v>2783</v>
      </c>
      <c r="L360" s="851">
        <v>3.4732622001049061</v>
      </c>
      <c r="M360" s="833" t="s">
        <v>2810</v>
      </c>
      <c r="N360" s="833" t="s">
        <v>2810</v>
      </c>
      <c r="O360" s="834"/>
      <c r="P360" s="835"/>
      <c r="Q360" s="6"/>
      <c r="R360" s="6"/>
      <c r="S360" s="6"/>
      <c r="T360" s="6"/>
      <c r="U360" s="831"/>
      <c r="V360" s="836"/>
    </row>
    <row r="361" spans="2:22" s="829" customFormat="1" ht="180" outlineLevel="1">
      <c r="B361" s="830" t="s">
        <v>2809</v>
      </c>
      <c r="C361" s="830"/>
      <c r="D361" s="830" t="s">
        <v>3172</v>
      </c>
      <c r="E361" s="851" t="s">
        <v>3173</v>
      </c>
      <c r="F361" s="852"/>
      <c r="G361" s="852"/>
      <c r="H361" s="11"/>
      <c r="I361" s="11" t="s">
        <v>1737</v>
      </c>
      <c r="J361" s="851" t="s">
        <v>2783</v>
      </c>
      <c r="K361" s="6" t="s">
        <v>2783</v>
      </c>
      <c r="L361" s="851">
        <v>4.0917883453290669</v>
      </c>
      <c r="M361" s="833" t="s">
        <v>2810</v>
      </c>
      <c r="N361" s="833" t="s">
        <v>2810</v>
      </c>
      <c r="O361" s="834"/>
      <c r="P361" s="835"/>
      <c r="Q361" s="6"/>
      <c r="R361" s="6"/>
      <c r="S361" s="6"/>
      <c r="T361" s="6"/>
      <c r="U361" s="831"/>
      <c r="V361" s="836"/>
    </row>
    <row r="362" spans="2:22" s="829" customFormat="1" ht="180" outlineLevel="1">
      <c r="B362" s="830" t="s">
        <v>2809</v>
      </c>
      <c r="C362" s="830"/>
      <c r="D362" s="830" t="s">
        <v>3172</v>
      </c>
      <c r="E362" s="851" t="s">
        <v>3173</v>
      </c>
      <c r="F362" s="852"/>
      <c r="G362" s="852"/>
      <c r="H362" s="11"/>
      <c r="I362" s="11" t="s">
        <v>1737</v>
      </c>
      <c r="J362" s="851" t="s">
        <v>2783</v>
      </c>
      <c r="K362" s="6" t="s">
        <v>2783</v>
      </c>
      <c r="L362" s="851" t="s">
        <v>1489</v>
      </c>
      <c r="M362" s="833" t="s">
        <v>2810</v>
      </c>
      <c r="N362" s="833" t="s">
        <v>2810</v>
      </c>
      <c r="O362" s="834"/>
      <c r="P362" s="835"/>
      <c r="Q362" s="6"/>
      <c r="R362" s="6"/>
      <c r="S362" s="6"/>
      <c r="T362" s="6"/>
      <c r="U362" s="831"/>
      <c r="V362" s="836"/>
    </row>
    <row r="363" spans="2:22" s="829" customFormat="1" ht="25.5" outlineLevel="1">
      <c r="B363" s="830" t="s">
        <v>2809</v>
      </c>
      <c r="C363" s="830"/>
      <c r="D363" s="830" t="s">
        <v>3172</v>
      </c>
      <c r="E363" s="851"/>
      <c r="F363" s="852"/>
      <c r="G363" s="852"/>
      <c r="H363" s="11"/>
      <c r="I363" s="11" t="s">
        <v>1737</v>
      </c>
      <c r="J363" s="851" t="s">
        <v>2783</v>
      </c>
      <c r="K363" s="6" t="s">
        <v>2783</v>
      </c>
      <c r="L363" s="851" t="s">
        <v>1489</v>
      </c>
      <c r="M363" s="833" t="s">
        <v>2810</v>
      </c>
      <c r="N363" s="833" t="s">
        <v>2810</v>
      </c>
      <c r="O363" s="834"/>
      <c r="P363" s="835"/>
      <c r="Q363" s="6"/>
      <c r="R363" s="6"/>
      <c r="S363" s="6"/>
      <c r="T363" s="6"/>
      <c r="U363" s="831"/>
      <c r="V363" s="836"/>
    </row>
    <row r="364" spans="2:22" s="829" customFormat="1" ht="25.5" outlineLevel="1">
      <c r="B364" s="830" t="s">
        <v>2809</v>
      </c>
      <c r="C364" s="830"/>
      <c r="D364" s="830" t="s">
        <v>3172</v>
      </c>
      <c r="E364" s="851"/>
      <c r="F364" s="852"/>
      <c r="G364" s="852"/>
      <c r="H364" s="11"/>
      <c r="I364" s="11" t="s">
        <v>1737</v>
      </c>
      <c r="J364" s="851" t="s">
        <v>2783</v>
      </c>
      <c r="K364" s="6" t="s">
        <v>2783</v>
      </c>
      <c r="L364" s="851" t="s">
        <v>1489</v>
      </c>
      <c r="M364" s="833" t="s">
        <v>2810</v>
      </c>
      <c r="N364" s="833" t="s">
        <v>2810</v>
      </c>
      <c r="O364" s="834"/>
      <c r="P364" s="835"/>
      <c r="Q364" s="6"/>
      <c r="R364" s="6"/>
      <c r="S364" s="6"/>
      <c r="T364" s="6"/>
      <c r="U364" s="831"/>
      <c r="V364" s="836"/>
    </row>
    <row r="365" spans="2:22" s="829" customFormat="1" ht="25.5" outlineLevel="1">
      <c r="B365" s="830" t="s">
        <v>2809</v>
      </c>
      <c r="C365" s="830"/>
      <c r="D365" s="830" t="s">
        <v>3172</v>
      </c>
      <c r="E365" s="851"/>
      <c r="F365" s="852"/>
      <c r="G365" s="852"/>
      <c r="H365" s="11"/>
      <c r="I365" s="11" t="s">
        <v>1737</v>
      </c>
      <c r="J365" s="851" t="s">
        <v>2783</v>
      </c>
      <c r="K365" s="6" t="s">
        <v>2783</v>
      </c>
      <c r="L365" s="851" t="s">
        <v>1489</v>
      </c>
      <c r="M365" s="833" t="s">
        <v>2810</v>
      </c>
      <c r="N365" s="833" t="s">
        <v>2810</v>
      </c>
      <c r="O365" s="834"/>
      <c r="P365" s="835"/>
      <c r="Q365" s="6"/>
      <c r="R365" s="6"/>
      <c r="S365" s="6"/>
      <c r="T365" s="6"/>
      <c r="U365" s="831"/>
      <c r="V365" s="836"/>
    </row>
    <row r="366" spans="2:22" s="829" customFormat="1" ht="25.5" outlineLevel="1">
      <c r="B366" s="830" t="s">
        <v>2809</v>
      </c>
      <c r="C366" s="830"/>
      <c r="D366" s="830" t="s">
        <v>3172</v>
      </c>
      <c r="E366" s="851"/>
      <c r="F366" s="852"/>
      <c r="G366" s="852"/>
      <c r="H366" s="11"/>
      <c r="I366" s="11" t="s">
        <v>1737</v>
      </c>
      <c r="J366" s="851" t="s">
        <v>2783</v>
      </c>
      <c r="K366" s="6" t="s">
        <v>2783</v>
      </c>
      <c r="L366" s="851" t="s">
        <v>1489</v>
      </c>
      <c r="M366" s="833" t="s">
        <v>2810</v>
      </c>
      <c r="N366" s="833" t="s">
        <v>2810</v>
      </c>
      <c r="O366" s="834"/>
      <c r="P366" s="835"/>
      <c r="Q366" s="6"/>
      <c r="R366" s="6"/>
      <c r="S366" s="6"/>
      <c r="T366" s="6"/>
      <c r="U366" s="831"/>
      <c r="V366" s="836"/>
    </row>
    <row r="367" spans="2:22" s="829" customFormat="1" ht="25.5" outlineLevel="1">
      <c r="B367" s="830" t="s">
        <v>2809</v>
      </c>
      <c r="C367" s="830"/>
      <c r="D367" s="830" t="s">
        <v>3172</v>
      </c>
      <c r="E367" s="851"/>
      <c r="F367" s="852"/>
      <c r="G367" s="852"/>
      <c r="H367" s="11"/>
      <c r="I367" s="11" t="s">
        <v>1737</v>
      </c>
      <c r="J367" s="851" t="s">
        <v>2783</v>
      </c>
      <c r="K367" s="6" t="s">
        <v>2783</v>
      </c>
      <c r="L367" s="851" t="s">
        <v>1489</v>
      </c>
      <c r="M367" s="833" t="s">
        <v>2810</v>
      </c>
      <c r="N367" s="833" t="s">
        <v>2810</v>
      </c>
      <c r="O367" s="834"/>
      <c r="P367" s="835"/>
      <c r="Q367" s="6"/>
      <c r="R367" s="6"/>
      <c r="S367" s="6"/>
      <c r="T367" s="6"/>
      <c r="U367" s="831"/>
      <c r="V367" s="836"/>
    </row>
    <row r="368" spans="2:22" s="829" customFormat="1" ht="25.5" outlineLevel="1">
      <c r="B368" s="830" t="s">
        <v>2809</v>
      </c>
      <c r="C368" s="830"/>
      <c r="D368" s="830" t="s">
        <v>3172</v>
      </c>
      <c r="E368" s="851"/>
      <c r="F368" s="852"/>
      <c r="G368" s="852"/>
      <c r="H368" s="11"/>
      <c r="I368" s="11" t="s">
        <v>1737</v>
      </c>
      <c r="J368" s="851" t="s">
        <v>2783</v>
      </c>
      <c r="K368" s="6" t="s">
        <v>2783</v>
      </c>
      <c r="L368" s="851" t="s">
        <v>1489</v>
      </c>
      <c r="M368" s="833" t="s">
        <v>2810</v>
      </c>
      <c r="N368" s="833" t="s">
        <v>2810</v>
      </c>
      <c r="O368" s="834"/>
      <c r="P368" s="835"/>
      <c r="Q368" s="6"/>
      <c r="R368" s="6"/>
      <c r="S368" s="6"/>
      <c r="T368" s="6"/>
      <c r="U368" s="831"/>
      <c r="V368" s="836"/>
    </row>
    <row r="369" spans="2:22" s="829" customFormat="1" ht="25.5" outlineLevel="1">
      <c r="B369" s="830" t="s">
        <v>2809</v>
      </c>
      <c r="C369" s="830"/>
      <c r="D369" s="830" t="s">
        <v>3172</v>
      </c>
      <c r="E369" s="851"/>
      <c r="F369" s="852"/>
      <c r="G369" s="852"/>
      <c r="H369" s="11"/>
      <c r="I369" s="11" t="s">
        <v>1737</v>
      </c>
      <c r="J369" s="851" t="s">
        <v>2783</v>
      </c>
      <c r="K369" s="6" t="s">
        <v>2783</v>
      </c>
      <c r="L369" s="851" t="s">
        <v>1489</v>
      </c>
      <c r="M369" s="833" t="s">
        <v>2810</v>
      </c>
      <c r="N369" s="833" t="s">
        <v>2810</v>
      </c>
      <c r="O369" s="834"/>
      <c r="P369" s="835"/>
      <c r="Q369" s="6"/>
      <c r="R369" s="6"/>
      <c r="S369" s="6"/>
      <c r="T369" s="6"/>
      <c r="U369" s="831"/>
      <c r="V369" s="836"/>
    </row>
    <row r="370" spans="2:22" s="829" customFormat="1" ht="25.5" outlineLevel="1">
      <c r="B370" s="830" t="s">
        <v>2809</v>
      </c>
      <c r="C370" s="830"/>
      <c r="D370" s="830" t="s">
        <v>3172</v>
      </c>
      <c r="E370" s="851"/>
      <c r="F370" s="852"/>
      <c r="G370" s="852"/>
      <c r="H370" s="11"/>
      <c r="I370" s="11" t="s">
        <v>1737</v>
      </c>
      <c r="J370" s="851" t="s">
        <v>2783</v>
      </c>
      <c r="K370" s="6" t="s">
        <v>2783</v>
      </c>
      <c r="L370" s="851" t="s">
        <v>1489</v>
      </c>
      <c r="M370" s="833" t="s">
        <v>2810</v>
      </c>
      <c r="N370" s="833" t="s">
        <v>2810</v>
      </c>
      <c r="O370" s="834"/>
      <c r="P370" s="835"/>
      <c r="Q370" s="6"/>
      <c r="R370" s="6"/>
      <c r="S370" s="6"/>
      <c r="T370" s="6"/>
      <c r="U370" s="831"/>
      <c r="V370" s="836"/>
    </row>
    <row r="371" spans="2:22" s="829" customFormat="1" ht="180" outlineLevel="1">
      <c r="B371" s="830" t="s">
        <v>2809</v>
      </c>
      <c r="C371" s="830"/>
      <c r="D371" s="830" t="s">
        <v>3172</v>
      </c>
      <c r="E371" s="851" t="s">
        <v>3173</v>
      </c>
      <c r="F371" s="852"/>
      <c r="G371" s="852"/>
      <c r="H371" s="11"/>
      <c r="I371" s="11" t="s">
        <v>1737</v>
      </c>
      <c r="J371" s="851" t="s">
        <v>2783</v>
      </c>
      <c r="K371" s="6" t="s">
        <v>2783</v>
      </c>
      <c r="L371" s="851">
        <v>0.78645559044121383</v>
      </c>
      <c r="M371" s="833" t="s">
        <v>2810</v>
      </c>
      <c r="N371" s="833" t="s">
        <v>2810</v>
      </c>
      <c r="O371" s="834"/>
      <c r="P371" s="835"/>
      <c r="Q371" s="6"/>
      <c r="R371" s="6"/>
      <c r="S371" s="6"/>
      <c r="T371" s="6"/>
      <c r="U371" s="831"/>
      <c r="V371" s="836"/>
    </row>
    <row r="372" spans="2:22" s="829" customFormat="1" ht="180" outlineLevel="1">
      <c r="B372" s="830" t="s">
        <v>2809</v>
      </c>
      <c r="C372" s="830"/>
      <c r="D372" s="830" t="s">
        <v>3172</v>
      </c>
      <c r="E372" s="851" t="s">
        <v>3173</v>
      </c>
      <c r="F372" s="852"/>
      <c r="G372" s="852"/>
      <c r="H372" s="11"/>
      <c r="I372" s="11" t="s">
        <v>1737</v>
      </c>
      <c r="J372" s="851" t="s">
        <v>2783</v>
      </c>
      <c r="K372" s="6" t="s">
        <v>2783</v>
      </c>
      <c r="L372" s="851">
        <v>1.0486074539216186</v>
      </c>
      <c r="M372" s="833" t="s">
        <v>2810</v>
      </c>
      <c r="N372" s="833" t="s">
        <v>2810</v>
      </c>
      <c r="O372" s="834"/>
      <c r="P372" s="835"/>
      <c r="Q372" s="6"/>
      <c r="R372" s="6"/>
      <c r="S372" s="6"/>
      <c r="T372" s="6"/>
      <c r="U372" s="831"/>
      <c r="V372" s="836"/>
    </row>
    <row r="373" spans="2:22" s="829" customFormat="1" ht="180" outlineLevel="1">
      <c r="B373" s="830" t="s">
        <v>2809</v>
      </c>
      <c r="C373" s="830"/>
      <c r="D373" s="830" t="s">
        <v>3172</v>
      </c>
      <c r="E373" s="851" t="s">
        <v>3173</v>
      </c>
      <c r="F373" s="852"/>
      <c r="G373" s="852"/>
      <c r="H373" s="11"/>
      <c r="I373" s="11" t="s">
        <v>1737</v>
      </c>
      <c r="J373" s="851" t="s">
        <v>2783</v>
      </c>
      <c r="K373" s="6" t="s">
        <v>2783</v>
      </c>
      <c r="L373" s="851">
        <v>1.5292192036356935</v>
      </c>
      <c r="M373" s="833" t="s">
        <v>2810</v>
      </c>
      <c r="N373" s="833" t="s">
        <v>2810</v>
      </c>
      <c r="O373" s="834"/>
      <c r="P373" s="835"/>
      <c r="Q373" s="6"/>
      <c r="R373" s="6"/>
      <c r="S373" s="6"/>
      <c r="T373" s="6"/>
      <c r="U373" s="831"/>
      <c r="V373" s="836"/>
    </row>
    <row r="374" spans="2:22" s="829" customFormat="1" ht="180" outlineLevel="1">
      <c r="B374" s="830" t="s">
        <v>2809</v>
      </c>
      <c r="C374" s="830"/>
      <c r="D374" s="830" t="s">
        <v>3172</v>
      </c>
      <c r="E374" s="851" t="s">
        <v>3173</v>
      </c>
      <c r="F374" s="852"/>
      <c r="G374" s="852"/>
      <c r="H374" s="11"/>
      <c r="I374" s="11" t="s">
        <v>1737</v>
      </c>
      <c r="J374" s="851" t="s">
        <v>2783</v>
      </c>
      <c r="K374" s="6" t="s">
        <v>2783</v>
      </c>
      <c r="L374" s="851">
        <v>2.1845988623367054</v>
      </c>
      <c r="M374" s="833" t="s">
        <v>2810</v>
      </c>
      <c r="N374" s="833" t="s">
        <v>2810</v>
      </c>
      <c r="O374" s="834"/>
      <c r="P374" s="835"/>
      <c r="Q374" s="6"/>
      <c r="R374" s="6"/>
      <c r="S374" s="6"/>
      <c r="T374" s="6"/>
      <c r="U374" s="831"/>
      <c r="V374" s="836"/>
    </row>
    <row r="375" spans="2:22" s="829" customFormat="1" ht="180" outlineLevel="1">
      <c r="B375" s="830" t="s">
        <v>2809</v>
      </c>
      <c r="C375" s="830"/>
      <c r="D375" s="830" t="s">
        <v>3172</v>
      </c>
      <c r="E375" s="851" t="s">
        <v>3173</v>
      </c>
      <c r="F375" s="852"/>
      <c r="G375" s="852"/>
      <c r="H375" s="11"/>
      <c r="I375" s="11" t="s">
        <v>1737</v>
      </c>
      <c r="J375" s="851" t="s">
        <v>2783</v>
      </c>
      <c r="K375" s="6" t="s">
        <v>2783</v>
      </c>
      <c r="L375" s="851">
        <v>2.6215186348040462</v>
      </c>
      <c r="M375" s="833" t="s">
        <v>2810</v>
      </c>
      <c r="N375" s="833" t="s">
        <v>2810</v>
      </c>
      <c r="O375" s="834"/>
      <c r="P375" s="835"/>
      <c r="Q375" s="6"/>
      <c r="R375" s="6"/>
      <c r="S375" s="6"/>
      <c r="T375" s="6"/>
      <c r="U375" s="831"/>
      <c r="V375" s="836"/>
    </row>
    <row r="376" spans="2:22" s="829" customFormat="1" ht="180" outlineLevel="1">
      <c r="B376" s="830" t="s">
        <v>2809</v>
      </c>
      <c r="C376" s="830"/>
      <c r="D376" s="830" t="s">
        <v>3172</v>
      </c>
      <c r="E376" s="851" t="s">
        <v>3173</v>
      </c>
      <c r="F376" s="852"/>
      <c r="G376" s="852"/>
      <c r="H376" s="11"/>
      <c r="I376" s="11" t="s">
        <v>1737</v>
      </c>
      <c r="J376" s="851" t="s">
        <v>2783</v>
      </c>
      <c r="K376" s="6" t="s">
        <v>2783</v>
      </c>
      <c r="L376" s="851" t="s">
        <v>1489</v>
      </c>
      <c r="M376" s="833" t="s">
        <v>2810</v>
      </c>
      <c r="N376" s="833" t="s">
        <v>2810</v>
      </c>
      <c r="O376" s="834"/>
      <c r="P376" s="835"/>
      <c r="Q376" s="6"/>
      <c r="R376" s="6"/>
      <c r="S376" s="6"/>
      <c r="T376" s="6"/>
      <c r="U376" s="831"/>
      <c r="V376" s="836"/>
    </row>
    <row r="377" spans="2:22" s="829" customFormat="1" ht="25.5" outlineLevel="1">
      <c r="B377" s="830" t="s">
        <v>2809</v>
      </c>
      <c r="C377" s="854"/>
      <c r="D377" s="854" t="s">
        <v>3172</v>
      </c>
      <c r="E377" s="851"/>
      <c r="F377" s="852"/>
      <c r="G377" s="852"/>
      <c r="H377" s="11"/>
      <c r="I377" s="11" t="s">
        <v>1737</v>
      </c>
      <c r="J377" s="851" t="s">
        <v>2783</v>
      </c>
      <c r="K377" s="6" t="s">
        <v>2783</v>
      </c>
      <c r="L377" s="851" t="s">
        <v>1489</v>
      </c>
      <c r="M377" s="833" t="s">
        <v>2810</v>
      </c>
      <c r="N377" s="833" t="s">
        <v>2810</v>
      </c>
      <c r="O377" s="834"/>
      <c r="P377" s="835"/>
      <c r="Q377" s="855"/>
      <c r="R377" s="855"/>
      <c r="S377" s="855"/>
      <c r="T377" s="855"/>
      <c r="U377" s="856"/>
      <c r="V377" s="857"/>
    </row>
    <row r="378" spans="2:22" s="829" customFormat="1" ht="25.5" outlineLevel="1">
      <c r="B378" s="830" t="s">
        <v>2809</v>
      </c>
      <c r="C378" s="854"/>
      <c r="D378" s="854" t="s">
        <v>3172</v>
      </c>
      <c r="E378" s="851"/>
      <c r="F378" s="852"/>
      <c r="G378" s="852"/>
      <c r="H378" s="11"/>
      <c r="I378" s="11" t="s">
        <v>1737</v>
      </c>
      <c r="J378" s="851" t="s">
        <v>2783</v>
      </c>
      <c r="K378" s="6" t="s">
        <v>2783</v>
      </c>
      <c r="L378" s="851" t="s">
        <v>1489</v>
      </c>
      <c r="M378" s="833" t="s">
        <v>2810</v>
      </c>
      <c r="N378" s="833" t="s">
        <v>2810</v>
      </c>
      <c r="O378" s="834"/>
      <c r="P378" s="835"/>
      <c r="Q378" s="855"/>
      <c r="R378" s="855"/>
      <c r="S378" s="855"/>
      <c r="T378" s="855"/>
      <c r="U378" s="856"/>
      <c r="V378" s="857"/>
    </row>
    <row r="379" spans="2:22" s="829" customFormat="1" ht="25.5" outlineLevel="1">
      <c r="B379" s="830" t="s">
        <v>2809</v>
      </c>
      <c r="C379" s="854"/>
      <c r="D379" s="854" t="s">
        <v>3172</v>
      </c>
      <c r="E379" s="851"/>
      <c r="F379" s="852"/>
      <c r="G379" s="852"/>
      <c r="H379" s="11"/>
      <c r="I379" s="11" t="s">
        <v>1737</v>
      </c>
      <c r="J379" s="851" t="s">
        <v>2783</v>
      </c>
      <c r="K379" s="6" t="s">
        <v>2783</v>
      </c>
      <c r="L379" s="851" t="s">
        <v>1489</v>
      </c>
      <c r="M379" s="833" t="s">
        <v>2810</v>
      </c>
      <c r="N379" s="833" t="s">
        <v>2810</v>
      </c>
      <c r="O379" s="834"/>
      <c r="P379" s="835"/>
      <c r="Q379" s="855"/>
      <c r="R379" s="855"/>
      <c r="S379" s="855"/>
      <c r="T379" s="855"/>
      <c r="U379" s="856"/>
      <c r="V379" s="857"/>
    </row>
    <row r="380" spans="2:22" s="829" customFormat="1" ht="25.5" outlineLevel="1">
      <c r="B380" s="830" t="s">
        <v>2809</v>
      </c>
      <c r="C380" s="854"/>
      <c r="D380" s="854" t="s">
        <v>3172</v>
      </c>
      <c r="E380" s="851"/>
      <c r="F380" s="852"/>
      <c r="G380" s="852"/>
      <c r="H380" s="11"/>
      <c r="I380" s="11" t="s">
        <v>1737</v>
      </c>
      <c r="J380" s="851" t="s">
        <v>2783</v>
      </c>
      <c r="K380" s="6" t="s">
        <v>2783</v>
      </c>
      <c r="L380" s="851" t="s">
        <v>1489</v>
      </c>
      <c r="M380" s="833" t="s">
        <v>2810</v>
      </c>
      <c r="N380" s="833" t="s">
        <v>2810</v>
      </c>
      <c r="O380" s="834"/>
      <c r="P380" s="835"/>
      <c r="Q380" s="855"/>
      <c r="R380" s="855"/>
      <c r="S380" s="855"/>
      <c r="T380" s="855"/>
      <c r="U380" s="856"/>
      <c r="V380" s="857"/>
    </row>
    <row r="381" spans="2:22" s="829" customFormat="1" ht="25.5" outlineLevel="1">
      <c r="B381" s="830" t="s">
        <v>2809</v>
      </c>
      <c r="C381" s="854"/>
      <c r="D381" s="854" t="s">
        <v>3172</v>
      </c>
      <c r="E381" s="851"/>
      <c r="F381" s="852"/>
      <c r="G381" s="852"/>
      <c r="H381" s="11"/>
      <c r="I381" s="11" t="s">
        <v>1737</v>
      </c>
      <c r="J381" s="851" t="s">
        <v>2783</v>
      </c>
      <c r="K381" s="6" t="s">
        <v>2783</v>
      </c>
      <c r="L381" s="851" t="s">
        <v>1489</v>
      </c>
      <c r="M381" s="833" t="s">
        <v>2810</v>
      </c>
      <c r="N381" s="833" t="s">
        <v>2810</v>
      </c>
      <c r="O381" s="834"/>
      <c r="P381" s="835"/>
      <c r="Q381" s="855"/>
      <c r="R381" s="855"/>
      <c r="S381" s="855"/>
      <c r="T381" s="855"/>
      <c r="U381" s="856"/>
      <c r="V381" s="857"/>
    </row>
    <row r="382" spans="2:22" s="829" customFormat="1" ht="25.5" outlineLevel="1">
      <c r="B382" s="830" t="s">
        <v>2809</v>
      </c>
      <c r="C382" s="854"/>
      <c r="D382" s="854" t="s">
        <v>3172</v>
      </c>
      <c r="E382" s="851"/>
      <c r="F382" s="852"/>
      <c r="G382" s="852"/>
      <c r="H382" s="11"/>
      <c r="I382" s="11" t="s">
        <v>1737</v>
      </c>
      <c r="J382" s="851" t="s">
        <v>2783</v>
      </c>
      <c r="K382" s="6" t="s">
        <v>2783</v>
      </c>
      <c r="L382" s="851" t="s">
        <v>1489</v>
      </c>
      <c r="M382" s="833" t="s">
        <v>2810</v>
      </c>
      <c r="N382" s="833" t="s">
        <v>2810</v>
      </c>
      <c r="O382" s="834"/>
      <c r="P382" s="835"/>
      <c r="Q382" s="855"/>
      <c r="R382" s="855"/>
      <c r="S382" s="855"/>
      <c r="T382" s="855"/>
      <c r="U382" s="856"/>
      <c r="V382" s="857"/>
    </row>
    <row r="383" spans="2:22" s="829" customFormat="1" ht="180" outlineLevel="1">
      <c r="B383" s="830" t="s">
        <v>2809</v>
      </c>
      <c r="C383" s="830"/>
      <c r="D383" s="830" t="s">
        <v>3172</v>
      </c>
      <c r="E383" s="851" t="s">
        <v>3173</v>
      </c>
      <c r="F383" s="852"/>
      <c r="G383" s="852"/>
      <c r="H383" s="11"/>
      <c r="I383" s="11" t="s">
        <v>1737</v>
      </c>
      <c r="J383" s="851" t="s">
        <v>2783</v>
      </c>
      <c r="K383" s="6" t="s">
        <v>2783</v>
      </c>
      <c r="L383" s="851" t="s">
        <v>1489</v>
      </c>
      <c r="M383" s="833" t="s">
        <v>2810</v>
      </c>
      <c r="N383" s="833" t="s">
        <v>2810</v>
      </c>
      <c r="O383" s="834"/>
      <c r="P383" s="835"/>
      <c r="Q383" s="6"/>
      <c r="R383" s="6"/>
      <c r="S383" s="6"/>
      <c r="T383" s="6"/>
      <c r="U383" s="831"/>
      <c r="V383" s="836"/>
    </row>
    <row r="384" spans="2:22" s="829" customFormat="1" ht="180" outlineLevel="1">
      <c r="B384" s="830" t="s">
        <v>2809</v>
      </c>
      <c r="C384" s="830"/>
      <c r="D384" s="830" t="s">
        <v>3172</v>
      </c>
      <c r="E384" s="851" t="s">
        <v>3173</v>
      </c>
      <c r="F384" s="852"/>
      <c r="G384" s="852"/>
      <c r="H384" s="11"/>
      <c r="I384" s="11" t="s">
        <v>1737</v>
      </c>
      <c r="J384" s="851" t="s">
        <v>2783</v>
      </c>
      <c r="K384" s="6" t="s">
        <v>2783</v>
      </c>
      <c r="L384" s="851" t="s">
        <v>1489</v>
      </c>
      <c r="M384" s="833" t="s">
        <v>2810</v>
      </c>
      <c r="N384" s="833" t="s">
        <v>2810</v>
      </c>
      <c r="O384" s="834"/>
      <c r="P384" s="835"/>
      <c r="Q384" s="6"/>
      <c r="R384" s="6"/>
      <c r="S384" s="6"/>
      <c r="T384" s="6"/>
      <c r="U384" s="831"/>
      <c r="V384" s="836"/>
    </row>
    <row r="385" spans="2:22" s="829" customFormat="1" ht="180" outlineLevel="1">
      <c r="B385" s="830" t="s">
        <v>2809</v>
      </c>
      <c r="C385" s="830"/>
      <c r="D385" s="830" t="s">
        <v>3172</v>
      </c>
      <c r="E385" s="851" t="s">
        <v>3173</v>
      </c>
      <c r="F385" s="852"/>
      <c r="G385" s="852"/>
      <c r="H385" s="11"/>
      <c r="I385" s="11" t="s">
        <v>1737</v>
      </c>
      <c r="J385" s="851" t="s">
        <v>2783</v>
      </c>
      <c r="K385" s="6" t="s">
        <v>2783</v>
      </c>
      <c r="L385" s="851">
        <v>0.54986501977182367</v>
      </c>
      <c r="M385" s="833" t="s">
        <v>2810</v>
      </c>
      <c r="N385" s="833" t="s">
        <v>2810</v>
      </c>
      <c r="O385" s="834"/>
      <c r="P385" s="835"/>
      <c r="Q385" s="6"/>
      <c r="R385" s="6"/>
      <c r="S385" s="6"/>
      <c r="T385" s="6"/>
      <c r="U385" s="831"/>
      <c r="V385" s="836"/>
    </row>
    <row r="386" spans="2:22" s="829" customFormat="1" ht="180" outlineLevel="1">
      <c r="B386" s="830" t="s">
        <v>2809</v>
      </c>
      <c r="C386" s="830"/>
      <c r="D386" s="830" t="s">
        <v>3172</v>
      </c>
      <c r="E386" s="851" t="s">
        <v>3173</v>
      </c>
      <c r="F386" s="852"/>
      <c r="G386" s="852"/>
      <c r="H386" s="11"/>
      <c r="I386" s="11" t="s">
        <v>1737</v>
      </c>
      <c r="J386" s="851" t="s">
        <v>2783</v>
      </c>
      <c r="K386" s="6" t="s">
        <v>2783</v>
      </c>
      <c r="L386" s="851">
        <v>0.78138713335996002</v>
      </c>
      <c r="M386" s="833" t="s">
        <v>2810</v>
      </c>
      <c r="N386" s="833" t="s">
        <v>2810</v>
      </c>
      <c r="O386" s="834"/>
      <c r="P386" s="835"/>
      <c r="Q386" s="6"/>
      <c r="R386" s="6"/>
      <c r="S386" s="6"/>
      <c r="T386" s="6"/>
      <c r="U386" s="831"/>
      <c r="V386" s="836"/>
    </row>
    <row r="387" spans="2:22" s="829" customFormat="1" ht="180" outlineLevel="1">
      <c r="B387" s="830" t="s">
        <v>2809</v>
      </c>
      <c r="C387" s="830"/>
      <c r="D387" s="830" t="s">
        <v>3172</v>
      </c>
      <c r="E387" s="851" t="s">
        <v>3173</v>
      </c>
      <c r="F387" s="852"/>
      <c r="G387" s="852"/>
      <c r="H387" s="11"/>
      <c r="I387" s="11" t="s">
        <v>1737</v>
      </c>
      <c r="J387" s="851" t="s">
        <v>2783</v>
      </c>
      <c r="K387" s="6" t="s">
        <v>2783</v>
      </c>
      <c r="L387" s="851">
        <v>1.2127032727222624</v>
      </c>
      <c r="M387" s="833" t="s">
        <v>2810</v>
      </c>
      <c r="N387" s="833" t="s">
        <v>2810</v>
      </c>
      <c r="O387" s="834"/>
      <c r="P387" s="835"/>
      <c r="Q387" s="6"/>
      <c r="R387" s="6"/>
      <c r="S387" s="6"/>
      <c r="T387" s="6"/>
      <c r="U387" s="831"/>
      <c r="V387" s="836"/>
    </row>
    <row r="388" spans="2:22" s="858" customFormat="1" ht="180" outlineLevel="1">
      <c r="B388" s="830" t="s">
        <v>2809</v>
      </c>
      <c r="C388" s="854"/>
      <c r="D388" s="854" t="s">
        <v>3172</v>
      </c>
      <c r="E388" s="851" t="s">
        <v>3173</v>
      </c>
      <c r="F388" s="852"/>
      <c r="G388" s="852"/>
      <c r="H388" s="11"/>
      <c r="I388" s="11" t="s">
        <v>1737</v>
      </c>
      <c r="J388" s="851" t="s">
        <v>2783</v>
      </c>
      <c r="K388" s="6" t="s">
        <v>2783</v>
      </c>
      <c r="L388" s="851">
        <v>1.8726289942187497</v>
      </c>
      <c r="M388" s="833" t="s">
        <v>2810</v>
      </c>
      <c r="N388" s="833" t="s">
        <v>2810</v>
      </c>
      <c r="O388" s="834"/>
      <c r="P388" s="835"/>
      <c r="Q388" s="855"/>
      <c r="R388" s="855"/>
      <c r="S388" s="855"/>
      <c r="T388" s="855"/>
      <c r="U388" s="856"/>
      <c r="V388" s="857"/>
    </row>
    <row r="389" spans="2:22" s="829" customFormat="1" ht="25.5" outlineLevel="1">
      <c r="B389" s="830" t="s">
        <v>2809</v>
      </c>
      <c r="C389" s="854"/>
      <c r="D389" s="854" t="s">
        <v>3172</v>
      </c>
      <c r="E389" s="851"/>
      <c r="F389" s="852"/>
      <c r="G389" s="852"/>
      <c r="H389" s="11"/>
      <c r="I389" s="11" t="s">
        <v>1737</v>
      </c>
      <c r="J389" s="851" t="s">
        <v>2783</v>
      </c>
      <c r="K389" s="6" t="s">
        <v>2783</v>
      </c>
      <c r="L389" s="851">
        <v>2.8847085317574845</v>
      </c>
      <c r="M389" s="833" t="s">
        <v>2810</v>
      </c>
      <c r="N389" s="833" t="s">
        <v>2810</v>
      </c>
      <c r="O389" s="834"/>
      <c r="P389" s="835"/>
      <c r="Q389" s="855"/>
      <c r="R389" s="855"/>
      <c r="S389" s="855"/>
      <c r="T389" s="855"/>
      <c r="U389" s="856"/>
      <c r="V389" s="857"/>
    </row>
    <row r="390" spans="2:22" s="829" customFormat="1" ht="25.5" outlineLevel="1">
      <c r="B390" s="830" t="s">
        <v>2809</v>
      </c>
      <c r="C390" s="854"/>
      <c r="D390" s="854" t="s">
        <v>3172</v>
      </c>
      <c r="E390" s="851"/>
      <c r="F390" s="852"/>
      <c r="G390" s="852"/>
      <c r="H390" s="11"/>
      <c r="I390" s="11" t="s">
        <v>1737</v>
      </c>
      <c r="J390" s="851" t="s">
        <v>2783</v>
      </c>
      <c r="K390" s="6" t="s">
        <v>2783</v>
      </c>
      <c r="L390" s="851">
        <v>4.0277612698286092</v>
      </c>
      <c r="M390" s="833" t="s">
        <v>2810</v>
      </c>
      <c r="N390" s="833" t="s">
        <v>2810</v>
      </c>
      <c r="O390" s="834"/>
      <c r="P390" s="835"/>
      <c r="Q390" s="855"/>
      <c r="R390" s="855"/>
      <c r="S390" s="855"/>
      <c r="T390" s="855"/>
      <c r="U390" s="856"/>
      <c r="V390" s="857"/>
    </row>
    <row r="391" spans="2:22" s="829" customFormat="1" ht="25.5" outlineLevel="1">
      <c r="B391" s="830" t="s">
        <v>2809</v>
      </c>
      <c r="C391" s="854"/>
      <c r="D391" s="854" t="s">
        <v>3172</v>
      </c>
      <c r="E391" s="851"/>
      <c r="F391" s="852"/>
      <c r="G391" s="852"/>
      <c r="H391" s="11"/>
      <c r="I391" s="11" t="s">
        <v>1737</v>
      </c>
      <c r="J391" s="851" t="s">
        <v>2783</v>
      </c>
      <c r="K391" s="6" t="s">
        <v>2783</v>
      </c>
      <c r="L391" s="851">
        <v>5.5169790317106315</v>
      </c>
      <c r="M391" s="833" t="s">
        <v>2810</v>
      </c>
      <c r="N391" s="833" t="s">
        <v>2810</v>
      </c>
      <c r="O391" s="834"/>
      <c r="P391" s="835"/>
      <c r="Q391" s="855"/>
      <c r="R391" s="855"/>
      <c r="S391" s="855"/>
      <c r="T391" s="855"/>
      <c r="U391" s="856"/>
      <c r="V391" s="857"/>
    </row>
    <row r="392" spans="2:22" s="829" customFormat="1" ht="25.5" outlineLevel="1">
      <c r="B392" s="830" t="s">
        <v>2809</v>
      </c>
      <c r="C392" s="854"/>
      <c r="D392" s="854" t="s">
        <v>3172</v>
      </c>
      <c r="E392" s="851"/>
      <c r="F392" s="852"/>
      <c r="G392" s="852"/>
      <c r="H392" s="11"/>
      <c r="I392" s="11" t="s">
        <v>1737</v>
      </c>
      <c r="J392" s="851" t="s">
        <v>2783</v>
      </c>
      <c r="K392" s="6" t="s">
        <v>2783</v>
      </c>
      <c r="L392" s="851">
        <v>6.4150918973379438</v>
      </c>
      <c r="M392" s="833" t="s">
        <v>2810</v>
      </c>
      <c r="N392" s="833" t="s">
        <v>2810</v>
      </c>
      <c r="O392" s="834"/>
      <c r="P392" s="835"/>
      <c r="Q392" s="855"/>
      <c r="R392" s="855"/>
      <c r="S392" s="855"/>
      <c r="T392" s="855"/>
      <c r="U392" s="856"/>
      <c r="V392" s="857"/>
    </row>
    <row r="393" spans="2:22" s="829" customFormat="1" ht="25.5" outlineLevel="1">
      <c r="B393" s="830" t="s">
        <v>2809</v>
      </c>
      <c r="C393" s="854"/>
      <c r="D393" s="854" t="s">
        <v>3172</v>
      </c>
      <c r="E393" s="851"/>
      <c r="F393" s="852"/>
      <c r="G393" s="852"/>
      <c r="H393" s="11"/>
      <c r="I393" s="11" t="s">
        <v>1737</v>
      </c>
      <c r="J393" s="851" t="s">
        <v>2783</v>
      </c>
      <c r="K393" s="6" t="s">
        <v>2783</v>
      </c>
      <c r="L393" s="851" t="s">
        <v>1489</v>
      </c>
      <c r="M393" s="833" t="s">
        <v>2810</v>
      </c>
      <c r="N393" s="833" t="s">
        <v>2810</v>
      </c>
      <c r="O393" s="834"/>
      <c r="P393" s="835"/>
      <c r="Q393" s="855"/>
      <c r="R393" s="855"/>
      <c r="S393" s="855"/>
      <c r="T393" s="855"/>
      <c r="U393" s="856"/>
      <c r="V393" s="857"/>
    </row>
    <row r="394" spans="2:22" s="829" customFormat="1" ht="25.5" outlineLevel="1">
      <c r="B394" s="830" t="s">
        <v>2809</v>
      </c>
      <c r="C394" s="854"/>
      <c r="D394" s="854" t="s">
        <v>3172</v>
      </c>
      <c r="E394" s="851"/>
      <c r="F394" s="852"/>
      <c r="G394" s="852"/>
      <c r="H394" s="11"/>
      <c r="I394" s="11" t="s">
        <v>1737</v>
      </c>
      <c r="J394" s="851" t="s">
        <v>2783</v>
      </c>
      <c r="K394" s="6" t="s">
        <v>2783</v>
      </c>
      <c r="L394" s="851" t="s">
        <v>1489</v>
      </c>
      <c r="M394" s="833" t="s">
        <v>2810</v>
      </c>
      <c r="N394" s="833" t="s">
        <v>2810</v>
      </c>
      <c r="O394" s="834"/>
      <c r="P394" s="835"/>
      <c r="Q394" s="855"/>
      <c r="R394" s="855"/>
      <c r="S394" s="855"/>
      <c r="T394" s="855"/>
      <c r="U394" s="856"/>
      <c r="V394" s="857"/>
    </row>
    <row r="395" spans="2:22" s="829" customFormat="1" ht="25.5" outlineLevel="1">
      <c r="B395" s="830" t="s">
        <v>2809</v>
      </c>
      <c r="C395" s="854"/>
      <c r="D395" s="854" t="s">
        <v>3172</v>
      </c>
      <c r="E395" s="851"/>
      <c r="F395" s="852"/>
      <c r="G395" s="852"/>
      <c r="H395" s="11"/>
      <c r="I395" s="11" t="s">
        <v>1737</v>
      </c>
      <c r="J395" s="851" t="s">
        <v>2783</v>
      </c>
      <c r="K395" s="6" t="s">
        <v>2783</v>
      </c>
      <c r="L395" s="851" t="s">
        <v>1489</v>
      </c>
      <c r="M395" s="833" t="s">
        <v>2810</v>
      </c>
      <c r="N395" s="833" t="s">
        <v>2810</v>
      </c>
      <c r="O395" s="834"/>
      <c r="P395" s="835"/>
      <c r="Q395" s="855"/>
      <c r="R395" s="855"/>
      <c r="S395" s="855"/>
      <c r="T395" s="855"/>
      <c r="U395" s="856"/>
      <c r="V395" s="857"/>
    </row>
    <row r="396" spans="2:22" s="829" customFormat="1" ht="25.5" outlineLevel="1">
      <c r="B396" s="830" t="s">
        <v>2809</v>
      </c>
      <c r="C396" s="854"/>
      <c r="D396" s="854" t="s">
        <v>3172</v>
      </c>
      <c r="E396" s="851"/>
      <c r="F396" s="852"/>
      <c r="G396" s="852"/>
      <c r="H396" s="11"/>
      <c r="I396" s="11" t="s">
        <v>1737</v>
      </c>
      <c r="J396" s="851" t="s">
        <v>2783</v>
      </c>
      <c r="K396" s="6" t="s">
        <v>2783</v>
      </c>
      <c r="L396" s="851" t="s">
        <v>1489</v>
      </c>
      <c r="M396" s="833" t="s">
        <v>2810</v>
      </c>
      <c r="N396" s="833" t="s">
        <v>2810</v>
      </c>
      <c r="O396" s="834"/>
      <c r="P396" s="835"/>
      <c r="Q396" s="855"/>
      <c r="R396" s="855"/>
      <c r="S396" s="855"/>
      <c r="T396" s="855"/>
      <c r="U396" s="856"/>
      <c r="V396" s="857"/>
    </row>
    <row r="397" spans="2:22" s="829" customFormat="1" ht="25.5" outlineLevel="1">
      <c r="B397" s="830" t="s">
        <v>2809</v>
      </c>
      <c r="C397" s="854"/>
      <c r="D397" s="854" t="s">
        <v>3172</v>
      </c>
      <c r="E397" s="851"/>
      <c r="F397" s="852"/>
      <c r="G397" s="852"/>
      <c r="H397" s="11"/>
      <c r="I397" s="11" t="s">
        <v>1737</v>
      </c>
      <c r="J397" s="851" t="s">
        <v>2783</v>
      </c>
      <c r="K397" s="6" t="s">
        <v>2783</v>
      </c>
      <c r="L397" s="851" t="s">
        <v>1489</v>
      </c>
      <c r="M397" s="833" t="s">
        <v>2810</v>
      </c>
      <c r="N397" s="833" t="s">
        <v>2810</v>
      </c>
      <c r="O397" s="834"/>
      <c r="P397" s="835"/>
      <c r="Q397" s="855"/>
      <c r="R397" s="855"/>
      <c r="S397" s="855"/>
      <c r="T397" s="855"/>
      <c r="U397" s="856"/>
      <c r="V397" s="857"/>
    </row>
    <row r="398" spans="2:22" s="829" customFormat="1" ht="25.5" outlineLevel="1">
      <c r="B398" s="830" t="s">
        <v>2809</v>
      </c>
      <c r="C398" s="854"/>
      <c r="D398" s="854" t="s">
        <v>3172</v>
      </c>
      <c r="E398" s="851"/>
      <c r="F398" s="852"/>
      <c r="G398" s="852"/>
      <c r="H398" s="11"/>
      <c r="I398" s="11" t="s">
        <v>1737</v>
      </c>
      <c r="J398" s="851" t="s">
        <v>2783</v>
      </c>
      <c r="K398" s="6" t="s">
        <v>2783</v>
      </c>
      <c r="L398" s="851" t="s">
        <v>1489</v>
      </c>
      <c r="M398" s="833" t="s">
        <v>2810</v>
      </c>
      <c r="N398" s="833" t="s">
        <v>2810</v>
      </c>
      <c r="O398" s="834"/>
      <c r="P398" s="835"/>
      <c r="Q398" s="855"/>
      <c r="R398" s="855"/>
      <c r="S398" s="855"/>
      <c r="T398" s="855"/>
      <c r="U398" s="856"/>
      <c r="V398" s="857"/>
    </row>
    <row r="399" spans="2:22" s="829" customFormat="1" ht="180" outlineLevel="1">
      <c r="B399" s="830" t="s">
        <v>2809</v>
      </c>
      <c r="C399" s="830"/>
      <c r="D399" s="830" t="s">
        <v>3172</v>
      </c>
      <c r="E399" s="851" t="s">
        <v>3173</v>
      </c>
      <c r="F399" s="852"/>
      <c r="G399" s="852"/>
      <c r="H399" s="11"/>
      <c r="I399" s="11" t="s">
        <v>1737</v>
      </c>
      <c r="J399" s="851" t="s">
        <v>2783</v>
      </c>
      <c r="K399" s="6" t="s">
        <v>2783</v>
      </c>
      <c r="L399" s="851">
        <v>0.46188661660833191</v>
      </c>
      <c r="M399" s="833" t="s">
        <v>2810</v>
      </c>
      <c r="N399" s="833" t="s">
        <v>2810</v>
      </c>
      <c r="O399" s="834"/>
      <c r="P399" s="835"/>
      <c r="Q399" s="6"/>
      <c r="R399" s="6"/>
      <c r="S399" s="6"/>
      <c r="T399" s="6"/>
      <c r="U399" s="831"/>
      <c r="V399" s="836"/>
    </row>
    <row r="400" spans="2:22" s="829" customFormat="1" ht="180" outlineLevel="1">
      <c r="B400" s="830" t="s">
        <v>2809</v>
      </c>
      <c r="C400" s="830"/>
      <c r="D400" s="830" t="s">
        <v>3172</v>
      </c>
      <c r="E400" s="851" t="s">
        <v>3173</v>
      </c>
      <c r="F400" s="852"/>
      <c r="G400" s="852"/>
      <c r="H400" s="11"/>
      <c r="I400" s="11" t="s">
        <v>1737</v>
      </c>
      <c r="J400" s="851" t="s">
        <v>2783</v>
      </c>
      <c r="K400" s="6" t="s">
        <v>2783</v>
      </c>
      <c r="L400" s="851">
        <v>0.64334207313303371</v>
      </c>
      <c r="M400" s="833" t="s">
        <v>2810</v>
      </c>
      <c r="N400" s="833" t="s">
        <v>2810</v>
      </c>
      <c r="O400" s="834"/>
      <c r="P400" s="835"/>
      <c r="Q400" s="6"/>
      <c r="R400" s="6"/>
      <c r="S400" s="6"/>
      <c r="T400" s="6"/>
      <c r="U400" s="831"/>
      <c r="V400" s="836"/>
    </row>
    <row r="401" spans="2:22" s="829" customFormat="1" ht="180" outlineLevel="1">
      <c r="B401" s="830" t="s">
        <v>2809</v>
      </c>
      <c r="C401" s="830"/>
      <c r="D401" s="830" t="s">
        <v>3172</v>
      </c>
      <c r="E401" s="851" t="s">
        <v>3173</v>
      </c>
      <c r="F401" s="852"/>
      <c r="G401" s="852"/>
      <c r="H401" s="11"/>
      <c r="I401" s="11" t="s">
        <v>1737</v>
      </c>
      <c r="J401" s="851" t="s">
        <v>2783</v>
      </c>
      <c r="K401" s="6" t="s">
        <v>2783</v>
      </c>
      <c r="L401" s="851">
        <v>0.96888866435697851</v>
      </c>
      <c r="M401" s="833" t="s">
        <v>2810</v>
      </c>
      <c r="N401" s="833" t="s">
        <v>2810</v>
      </c>
      <c r="O401" s="834"/>
      <c r="P401" s="835"/>
      <c r="Q401" s="6"/>
      <c r="R401" s="6"/>
      <c r="S401" s="6"/>
      <c r="T401" s="6"/>
      <c r="U401" s="831"/>
      <c r="V401" s="836"/>
    </row>
    <row r="402" spans="2:22" s="829" customFormat="1" ht="180" outlineLevel="1">
      <c r="B402" s="830" t="s">
        <v>2809</v>
      </c>
      <c r="C402" s="830"/>
      <c r="D402" s="830" t="s">
        <v>3172</v>
      </c>
      <c r="E402" s="851" t="s">
        <v>3173</v>
      </c>
      <c r="F402" s="852"/>
      <c r="G402" s="852"/>
      <c r="H402" s="11"/>
      <c r="I402" s="11" t="s">
        <v>1737</v>
      </c>
      <c r="J402" s="851" t="s">
        <v>2783</v>
      </c>
      <c r="K402" s="6" t="s">
        <v>2783</v>
      </c>
      <c r="L402" s="851">
        <v>1.4118354858398365</v>
      </c>
      <c r="M402" s="833" t="s">
        <v>2810</v>
      </c>
      <c r="N402" s="833" t="s">
        <v>2810</v>
      </c>
      <c r="O402" s="834"/>
      <c r="P402" s="835"/>
      <c r="Q402" s="6"/>
      <c r="R402" s="6"/>
      <c r="S402" s="6"/>
      <c r="T402" s="6"/>
      <c r="U402" s="831"/>
      <c r="V402" s="836"/>
    </row>
    <row r="403" spans="2:22" s="829" customFormat="1" ht="180" outlineLevel="1">
      <c r="B403" s="830" t="s">
        <v>2809</v>
      </c>
      <c r="C403" s="830"/>
      <c r="D403" s="830" t="s">
        <v>3172</v>
      </c>
      <c r="E403" s="851" t="s">
        <v>3173</v>
      </c>
      <c r="F403" s="852"/>
      <c r="G403" s="852"/>
      <c r="H403" s="11"/>
      <c r="I403" s="11" t="s">
        <v>1737</v>
      </c>
      <c r="J403" s="851" t="s">
        <v>2783</v>
      </c>
      <c r="K403" s="6" t="s">
        <v>2783</v>
      </c>
      <c r="L403" s="851">
        <v>2.0581753170625903</v>
      </c>
      <c r="M403" s="833" t="s">
        <v>2810</v>
      </c>
      <c r="N403" s="833" t="s">
        <v>2810</v>
      </c>
      <c r="O403" s="834"/>
      <c r="P403" s="835"/>
      <c r="Q403" s="6"/>
      <c r="R403" s="6"/>
      <c r="S403" s="6"/>
      <c r="T403" s="6"/>
      <c r="U403" s="831"/>
      <c r="V403" s="836"/>
    </row>
    <row r="404" spans="2:22" s="829" customFormat="1" ht="180" outlineLevel="1">
      <c r="B404" s="830" t="s">
        <v>2809</v>
      </c>
      <c r="C404" s="830"/>
      <c r="D404" s="830" t="s">
        <v>3172</v>
      </c>
      <c r="E404" s="851" t="s">
        <v>3173</v>
      </c>
      <c r="F404" s="852"/>
      <c r="G404" s="852"/>
      <c r="H404" s="11"/>
      <c r="I404" s="11" t="s">
        <v>1737</v>
      </c>
      <c r="J404" s="851" t="s">
        <v>2783</v>
      </c>
      <c r="K404" s="6" t="s">
        <v>2783</v>
      </c>
      <c r="L404" s="851">
        <v>2.5884895805758603</v>
      </c>
      <c r="M404" s="833" t="s">
        <v>2810</v>
      </c>
      <c r="N404" s="833" t="s">
        <v>2810</v>
      </c>
      <c r="O404" s="834"/>
      <c r="P404" s="835"/>
      <c r="Q404" s="6"/>
      <c r="R404" s="6"/>
      <c r="S404" s="6"/>
      <c r="T404" s="6"/>
      <c r="U404" s="831"/>
      <c r="V404" s="836"/>
    </row>
    <row r="405" spans="2:22" s="829" customFormat="1" ht="25.5" outlineLevel="1">
      <c r="B405" s="830" t="s">
        <v>2809</v>
      </c>
      <c r="C405" s="854"/>
      <c r="D405" s="854" t="s">
        <v>3172</v>
      </c>
      <c r="E405" s="851"/>
      <c r="F405" s="852"/>
      <c r="G405" s="852"/>
      <c r="H405" s="11"/>
      <c r="I405" s="11" t="s">
        <v>1737</v>
      </c>
      <c r="J405" s="851" t="s">
        <v>2783</v>
      </c>
      <c r="K405" s="6" t="s">
        <v>2783</v>
      </c>
      <c r="L405" s="851">
        <v>3.3101874190263789</v>
      </c>
      <c r="M405" s="833" t="s">
        <v>2810</v>
      </c>
      <c r="N405" s="833" t="s">
        <v>2810</v>
      </c>
      <c r="O405" s="834"/>
      <c r="P405" s="835"/>
      <c r="Q405" s="855"/>
      <c r="R405" s="855"/>
      <c r="S405" s="855"/>
      <c r="T405" s="855"/>
      <c r="U405" s="856"/>
      <c r="V405" s="857"/>
    </row>
    <row r="406" spans="2:22" s="829" customFormat="1" ht="25.5" outlineLevel="1">
      <c r="B406" s="830" t="s">
        <v>2809</v>
      </c>
      <c r="C406" s="854"/>
      <c r="D406" s="854" t="s">
        <v>3172</v>
      </c>
      <c r="E406" s="851"/>
      <c r="F406" s="852"/>
      <c r="G406" s="852"/>
      <c r="H406" s="11"/>
      <c r="I406" s="11" t="s">
        <v>1737</v>
      </c>
      <c r="J406" s="851" t="s">
        <v>2783</v>
      </c>
      <c r="K406" s="6" t="s">
        <v>2783</v>
      </c>
      <c r="L406" s="851">
        <v>3.7252551193313321</v>
      </c>
      <c r="M406" s="833" t="s">
        <v>2810</v>
      </c>
      <c r="N406" s="833" t="s">
        <v>2810</v>
      </c>
      <c r="O406" s="834"/>
      <c r="P406" s="835"/>
      <c r="Q406" s="855"/>
      <c r="R406" s="855"/>
      <c r="S406" s="855"/>
      <c r="T406" s="855"/>
      <c r="U406" s="856"/>
      <c r="V406" s="857"/>
    </row>
    <row r="407" spans="2:22" s="829" customFormat="1" ht="25.5" outlineLevel="1">
      <c r="B407" s="830" t="s">
        <v>2809</v>
      </c>
      <c r="C407" s="854"/>
      <c r="D407" s="854" t="s">
        <v>3172</v>
      </c>
      <c r="E407" s="851"/>
      <c r="F407" s="852"/>
      <c r="G407" s="852"/>
      <c r="H407" s="11"/>
      <c r="I407" s="11" t="s">
        <v>1737</v>
      </c>
      <c r="J407" s="851" t="s">
        <v>2783</v>
      </c>
      <c r="K407" s="6" t="s">
        <v>2783</v>
      </c>
      <c r="L407" s="851">
        <v>4.4736825073540922</v>
      </c>
      <c r="M407" s="833" t="s">
        <v>2810</v>
      </c>
      <c r="N407" s="833" t="s">
        <v>2810</v>
      </c>
      <c r="O407" s="834"/>
      <c r="P407" s="835"/>
      <c r="Q407" s="855"/>
      <c r="R407" s="855"/>
      <c r="S407" s="855"/>
      <c r="T407" s="855"/>
      <c r="U407" s="856"/>
      <c r="V407" s="857"/>
    </row>
    <row r="408" spans="2:22" s="829" customFormat="1" ht="25.5" outlineLevel="1">
      <c r="B408" s="830" t="s">
        <v>2809</v>
      </c>
      <c r="C408" s="854"/>
      <c r="D408" s="854" t="s">
        <v>3172</v>
      </c>
      <c r="E408" s="851"/>
      <c r="F408" s="852"/>
      <c r="G408" s="852"/>
      <c r="H408" s="11"/>
      <c r="I408" s="11" t="s">
        <v>1737</v>
      </c>
      <c r="J408" s="851" t="s">
        <v>2783</v>
      </c>
      <c r="K408" s="6" t="s">
        <v>2783</v>
      </c>
      <c r="L408" s="851">
        <v>6.9182363598742533</v>
      </c>
      <c r="M408" s="833" t="s">
        <v>2810</v>
      </c>
      <c r="N408" s="833" t="s">
        <v>2810</v>
      </c>
      <c r="O408" s="834"/>
      <c r="P408" s="835"/>
      <c r="Q408" s="855"/>
      <c r="R408" s="855"/>
      <c r="S408" s="855"/>
      <c r="T408" s="855"/>
      <c r="U408" s="856"/>
      <c r="V408" s="857"/>
    </row>
    <row r="409" spans="2:22" s="829" customFormat="1" ht="25.5" outlineLevel="1">
      <c r="B409" s="830" t="s">
        <v>2809</v>
      </c>
      <c r="C409" s="854"/>
      <c r="D409" s="854" t="s">
        <v>3172</v>
      </c>
      <c r="E409" s="851"/>
      <c r="F409" s="852"/>
      <c r="G409" s="852"/>
      <c r="H409" s="11"/>
      <c r="I409" s="11" t="s">
        <v>1737</v>
      </c>
      <c r="J409" s="851" t="s">
        <v>2783</v>
      </c>
      <c r="K409" s="6" t="s">
        <v>2783</v>
      </c>
      <c r="L409" s="851">
        <v>8.7558928929658517</v>
      </c>
      <c r="M409" s="833" t="s">
        <v>2810</v>
      </c>
      <c r="N409" s="833" t="s">
        <v>2810</v>
      </c>
      <c r="O409" s="834"/>
      <c r="P409" s="835"/>
      <c r="Q409" s="855"/>
      <c r="R409" s="855"/>
      <c r="S409" s="855"/>
      <c r="T409" s="855"/>
      <c r="U409" s="856"/>
      <c r="V409" s="857"/>
    </row>
    <row r="410" spans="2:22" s="829" customFormat="1" ht="25.5" outlineLevel="1">
      <c r="B410" s="830" t="s">
        <v>2809</v>
      </c>
      <c r="C410" s="854"/>
      <c r="D410" s="854" t="s">
        <v>3172</v>
      </c>
      <c r="E410" s="851"/>
      <c r="F410" s="852"/>
      <c r="G410" s="852"/>
      <c r="H410" s="11"/>
      <c r="I410" s="11" t="s">
        <v>1737</v>
      </c>
      <c r="J410" s="851" t="s">
        <v>2783</v>
      </c>
      <c r="K410" s="6" t="s">
        <v>2783</v>
      </c>
      <c r="L410" s="851">
        <v>9.3219304133191994</v>
      </c>
      <c r="M410" s="833" t="s">
        <v>2810</v>
      </c>
      <c r="N410" s="833" t="s">
        <v>2810</v>
      </c>
      <c r="O410" s="834"/>
      <c r="P410" s="835"/>
      <c r="Q410" s="855"/>
      <c r="R410" s="855"/>
      <c r="S410" s="855"/>
      <c r="T410" s="855"/>
      <c r="U410" s="856"/>
      <c r="V410" s="857"/>
    </row>
    <row r="411" spans="2:22" s="829" customFormat="1" ht="25.5" outlineLevel="1">
      <c r="B411" s="830" t="s">
        <v>2809</v>
      </c>
      <c r="C411" s="854"/>
      <c r="D411" s="854" t="s">
        <v>3172</v>
      </c>
      <c r="E411" s="851"/>
      <c r="F411" s="852"/>
      <c r="G411" s="852"/>
      <c r="H411" s="11"/>
      <c r="I411" s="11" t="s">
        <v>1737</v>
      </c>
      <c r="J411" s="851" t="s">
        <v>2783</v>
      </c>
      <c r="K411" s="6" t="s">
        <v>2783</v>
      </c>
      <c r="L411" s="851">
        <v>9.6226378460069153</v>
      </c>
      <c r="M411" s="833" t="s">
        <v>2810</v>
      </c>
      <c r="N411" s="833" t="s">
        <v>2810</v>
      </c>
      <c r="O411" s="834"/>
      <c r="P411" s="835"/>
      <c r="Q411" s="855"/>
      <c r="R411" s="855"/>
      <c r="S411" s="855"/>
      <c r="T411" s="855"/>
      <c r="U411" s="856"/>
      <c r="V411" s="857"/>
    </row>
    <row r="412" spans="2:22" s="829" customFormat="1" ht="25.5" outlineLevel="1">
      <c r="B412" s="830" t="s">
        <v>2809</v>
      </c>
      <c r="C412" s="854"/>
      <c r="D412" s="854" t="s">
        <v>3172</v>
      </c>
      <c r="E412" s="851"/>
      <c r="F412" s="852"/>
      <c r="G412" s="852"/>
      <c r="H412" s="11"/>
      <c r="I412" s="11" t="s">
        <v>1737</v>
      </c>
      <c r="J412" s="851" t="s">
        <v>2783</v>
      </c>
      <c r="K412" s="6" t="s">
        <v>2783</v>
      </c>
      <c r="L412" s="851" t="s">
        <v>1489</v>
      </c>
      <c r="M412" s="833" t="s">
        <v>2810</v>
      </c>
      <c r="N412" s="833" t="s">
        <v>2810</v>
      </c>
      <c r="O412" s="834"/>
      <c r="P412" s="835"/>
      <c r="Q412" s="855"/>
      <c r="R412" s="855"/>
      <c r="S412" s="855"/>
      <c r="T412" s="855"/>
      <c r="U412" s="856"/>
      <c r="V412" s="857"/>
    </row>
    <row r="413" spans="2:22" s="829" customFormat="1" ht="180" outlineLevel="1">
      <c r="B413" s="830" t="s">
        <v>2809</v>
      </c>
      <c r="C413" s="830"/>
      <c r="D413" s="830" t="s">
        <v>3172</v>
      </c>
      <c r="E413" s="851" t="s">
        <v>3173</v>
      </c>
      <c r="F413" s="852"/>
      <c r="G413" s="852"/>
      <c r="H413" s="11"/>
      <c r="I413" s="11" t="s">
        <v>1737</v>
      </c>
      <c r="J413" s="851" t="s">
        <v>2783</v>
      </c>
      <c r="K413" s="6" t="s">
        <v>2783</v>
      </c>
      <c r="L413" s="851">
        <v>0.39122153095927725</v>
      </c>
      <c r="M413" s="833" t="s">
        <v>2810</v>
      </c>
      <c r="N413" s="833" t="s">
        <v>2810</v>
      </c>
      <c r="O413" s="834"/>
      <c r="P413" s="835"/>
      <c r="Q413" s="6"/>
      <c r="R413" s="6"/>
      <c r="S413" s="6"/>
      <c r="T413" s="6"/>
      <c r="U413" s="831"/>
      <c r="V413" s="836"/>
    </row>
    <row r="414" spans="2:22" s="829" customFormat="1" ht="180" outlineLevel="1">
      <c r="B414" s="830" t="s">
        <v>2809</v>
      </c>
      <c r="C414" s="830"/>
      <c r="D414" s="830" t="s">
        <v>3172</v>
      </c>
      <c r="E414" s="851" t="s">
        <v>3173</v>
      </c>
      <c r="F414" s="852"/>
      <c r="G414" s="852"/>
      <c r="H414" s="11"/>
      <c r="I414" s="11" t="s">
        <v>1737</v>
      </c>
      <c r="J414" s="851" t="s">
        <v>2783</v>
      </c>
      <c r="K414" s="6" t="s">
        <v>2783</v>
      </c>
      <c r="L414" s="851">
        <v>0.55594638610002567</v>
      </c>
      <c r="M414" s="833" t="s">
        <v>2810</v>
      </c>
      <c r="N414" s="833" t="s">
        <v>2810</v>
      </c>
      <c r="O414" s="834"/>
      <c r="P414" s="835"/>
      <c r="Q414" s="6"/>
      <c r="R414" s="6"/>
      <c r="S414" s="6"/>
      <c r="T414" s="6"/>
      <c r="U414" s="831"/>
      <c r="V414" s="836"/>
    </row>
    <row r="415" spans="2:22" s="829" customFormat="1" ht="180" outlineLevel="1">
      <c r="B415" s="830" t="s">
        <v>2809</v>
      </c>
      <c r="C415" s="830"/>
      <c r="D415" s="830" t="s">
        <v>3172</v>
      </c>
      <c r="E415" s="851" t="s">
        <v>3173</v>
      </c>
      <c r="F415" s="852"/>
      <c r="G415" s="852"/>
      <c r="H415" s="11"/>
      <c r="I415" s="11" t="s">
        <v>1737</v>
      </c>
      <c r="J415" s="851" t="s">
        <v>2783</v>
      </c>
      <c r="K415" s="6" t="s">
        <v>2783</v>
      </c>
      <c r="L415" s="851">
        <v>0.84289962356575121</v>
      </c>
      <c r="M415" s="833" t="s">
        <v>2810</v>
      </c>
      <c r="N415" s="833" t="s">
        <v>2810</v>
      </c>
      <c r="O415" s="834"/>
      <c r="P415" s="835"/>
      <c r="Q415" s="6"/>
      <c r="R415" s="6"/>
      <c r="S415" s="6"/>
      <c r="T415" s="6"/>
      <c r="U415" s="831"/>
      <c r="V415" s="836"/>
    </row>
    <row r="416" spans="2:22" s="829" customFormat="1" ht="180" outlineLevel="1">
      <c r="B416" s="830" t="s">
        <v>2809</v>
      </c>
      <c r="C416" s="830"/>
      <c r="D416" s="830" t="s">
        <v>3172</v>
      </c>
      <c r="E416" s="851" t="s">
        <v>3173</v>
      </c>
      <c r="F416" s="852"/>
      <c r="G416" s="852"/>
      <c r="H416" s="11"/>
      <c r="I416" s="11" t="s">
        <v>1737</v>
      </c>
      <c r="J416" s="851" t="s">
        <v>2783</v>
      </c>
      <c r="K416" s="6" t="s">
        <v>2783</v>
      </c>
      <c r="L416" s="851">
        <v>1.2128441940693486</v>
      </c>
      <c r="M416" s="833" t="s">
        <v>2810</v>
      </c>
      <c r="N416" s="833" t="s">
        <v>2810</v>
      </c>
      <c r="O416" s="834"/>
      <c r="P416" s="835"/>
      <c r="Q416" s="6"/>
      <c r="R416" s="6"/>
      <c r="S416" s="6"/>
      <c r="T416" s="6"/>
      <c r="U416" s="831"/>
      <c r="V416" s="836"/>
    </row>
    <row r="417" spans="2:22" s="829" customFormat="1" ht="180" outlineLevel="1">
      <c r="B417" s="830" t="s">
        <v>2809</v>
      </c>
      <c r="C417" s="830"/>
      <c r="D417" s="830" t="s">
        <v>3172</v>
      </c>
      <c r="E417" s="851" t="s">
        <v>3173</v>
      </c>
      <c r="F417" s="852"/>
      <c r="G417" s="852"/>
      <c r="H417" s="11"/>
      <c r="I417" s="11" t="s">
        <v>1737</v>
      </c>
      <c r="J417" s="851" t="s">
        <v>2783</v>
      </c>
      <c r="K417" s="6" t="s">
        <v>2783</v>
      </c>
      <c r="L417" s="851">
        <v>1.5860772900974034</v>
      </c>
      <c r="M417" s="833" t="s">
        <v>2810</v>
      </c>
      <c r="N417" s="833" t="s">
        <v>2810</v>
      </c>
      <c r="O417" s="834"/>
      <c r="P417" s="835"/>
      <c r="Q417" s="6"/>
      <c r="R417" s="6"/>
      <c r="S417" s="6"/>
      <c r="T417" s="6"/>
      <c r="U417" s="831"/>
      <c r="V417" s="836"/>
    </row>
    <row r="418" spans="2:22" s="829" customFormat="1" ht="180" outlineLevel="1">
      <c r="B418" s="830" t="s">
        <v>2809</v>
      </c>
      <c r="C418" s="830"/>
      <c r="D418" s="830" t="s">
        <v>3172</v>
      </c>
      <c r="E418" s="851" t="s">
        <v>3173</v>
      </c>
      <c r="F418" s="852"/>
      <c r="G418" s="852"/>
      <c r="H418" s="11"/>
      <c r="I418" s="11" t="s">
        <v>1737</v>
      </c>
      <c r="J418" s="851" t="s">
        <v>2783</v>
      </c>
      <c r="K418" s="6" t="s">
        <v>2783</v>
      </c>
      <c r="L418" s="851">
        <v>1.8577058977715679</v>
      </c>
      <c r="M418" s="833" t="s">
        <v>2810</v>
      </c>
      <c r="N418" s="833" t="s">
        <v>2810</v>
      </c>
      <c r="O418" s="834"/>
      <c r="P418" s="835"/>
      <c r="Q418" s="6"/>
      <c r="R418" s="6"/>
      <c r="S418" s="6"/>
      <c r="T418" s="6"/>
      <c r="U418" s="831"/>
      <c r="V418" s="836"/>
    </row>
    <row r="419" spans="2:22" s="829" customFormat="1" ht="25.5" outlineLevel="1">
      <c r="B419" s="830" t="s">
        <v>2809</v>
      </c>
      <c r="C419" s="854"/>
      <c r="D419" s="854" t="s">
        <v>3172</v>
      </c>
      <c r="E419" s="851"/>
      <c r="F419" s="852"/>
      <c r="G419" s="852"/>
      <c r="H419" s="11"/>
      <c r="I419" s="11" t="s">
        <v>1737</v>
      </c>
      <c r="J419" s="851" t="s">
        <v>2783</v>
      </c>
      <c r="K419" s="6" t="s">
        <v>2783</v>
      </c>
      <c r="L419" s="851">
        <v>3.5846180343869731</v>
      </c>
      <c r="M419" s="833" t="s">
        <v>2810</v>
      </c>
      <c r="N419" s="833" t="s">
        <v>2810</v>
      </c>
      <c r="O419" s="834"/>
      <c r="P419" s="835"/>
      <c r="Q419" s="855"/>
      <c r="R419" s="855"/>
      <c r="S419" s="855"/>
      <c r="T419" s="855"/>
      <c r="U419" s="856"/>
      <c r="V419" s="857"/>
    </row>
    <row r="420" spans="2:22" s="829" customFormat="1" ht="25.5" outlineLevel="1">
      <c r="B420" s="830" t="s">
        <v>2809</v>
      </c>
      <c r="C420" s="854"/>
      <c r="D420" s="854" t="s">
        <v>3172</v>
      </c>
      <c r="E420" s="851"/>
      <c r="F420" s="852"/>
      <c r="G420" s="852"/>
      <c r="H420" s="11"/>
      <c r="I420" s="11" t="s">
        <v>1737</v>
      </c>
      <c r="J420" s="851" t="s">
        <v>2783</v>
      </c>
      <c r="K420" s="6" t="s">
        <v>2783</v>
      </c>
      <c r="L420" s="851">
        <v>3.6360114288426817</v>
      </c>
      <c r="M420" s="833" t="s">
        <v>2810</v>
      </c>
      <c r="N420" s="833" t="s">
        <v>2810</v>
      </c>
      <c r="O420" s="834"/>
      <c r="P420" s="835"/>
      <c r="Q420" s="855"/>
      <c r="R420" s="855"/>
      <c r="S420" s="855"/>
      <c r="T420" s="855"/>
      <c r="U420" s="856"/>
      <c r="V420" s="857"/>
    </row>
    <row r="421" spans="2:22" s="829" customFormat="1" ht="25.5" outlineLevel="1">
      <c r="B421" s="830" t="s">
        <v>2809</v>
      </c>
      <c r="C421" s="854"/>
      <c r="D421" s="854" t="s">
        <v>3172</v>
      </c>
      <c r="E421" s="851"/>
      <c r="F421" s="852"/>
      <c r="G421" s="852"/>
      <c r="H421" s="11"/>
      <c r="I421" s="11" t="s">
        <v>1737</v>
      </c>
      <c r="J421" s="851" t="s">
        <v>2783</v>
      </c>
      <c r="K421" s="6" t="s">
        <v>2783</v>
      </c>
      <c r="L421" s="851">
        <v>3.1602768504780614</v>
      </c>
      <c r="M421" s="833" t="s">
        <v>2810</v>
      </c>
      <c r="N421" s="833" t="s">
        <v>2810</v>
      </c>
      <c r="O421" s="834"/>
      <c r="P421" s="835"/>
      <c r="Q421" s="855"/>
      <c r="R421" s="855"/>
      <c r="S421" s="855"/>
      <c r="T421" s="855"/>
      <c r="U421" s="856"/>
      <c r="V421" s="857"/>
    </row>
    <row r="422" spans="2:22" s="829" customFormat="1" ht="25.5" outlineLevel="1">
      <c r="B422" s="830" t="s">
        <v>2809</v>
      </c>
      <c r="C422" s="854"/>
      <c r="D422" s="854" t="s">
        <v>3172</v>
      </c>
      <c r="E422" s="851"/>
      <c r="F422" s="852"/>
      <c r="G422" s="852"/>
      <c r="H422" s="11"/>
      <c r="I422" s="11" t="s">
        <v>1737</v>
      </c>
      <c r="J422" s="851" t="s">
        <v>2783</v>
      </c>
      <c r="K422" s="6" t="s">
        <v>2783</v>
      </c>
      <c r="L422" s="851">
        <v>4.2003043672490605</v>
      </c>
      <c r="M422" s="833" t="s">
        <v>2810</v>
      </c>
      <c r="N422" s="833" t="s">
        <v>2810</v>
      </c>
      <c r="O422" s="834"/>
      <c r="P422" s="835"/>
      <c r="Q422" s="855"/>
      <c r="R422" s="855"/>
      <c r="S422" s="855"/>
      <c r="T422" s="855"/>
      <c r="U422" s="856"/>
      <c r="V422" s="857"/>
    </row>
    <row r="423" spans="2:22" s="829" customFormat="1" ht="25.5" outlineLevel="1">
      <c r="B423" s="830" t="s">
        <v>2809</v>
      </c>
      <c r="C423" s="854"/>
      <c r="D423" s="854" t="s">
        <v>3172</v>
      </c>
      <c r="E423" s="851"/>
      <c r="F423" s="852"/>
      <c r="G423" s="852"/>
      <c r="H423" s="11"/>
      <c r="I423" s="11" t="s">
        <v>1737</v>
      </c>
      <c r="J423" s="851" t="s">
        <v>2783</v>
      </c>
      <c r="K423" s="6" t="s">
        <v>2783</v>
      </c>
      <c r="L423" s="851">
        <v>5.3160102147995936</v>
      </c>
      <c r="M423" s="833" t="s">
        <v>2810</v>
      </c>
      <c r="N423" s="833" t="s">
        <v>2810</v>
      </c>
      <c r="O423" s="834"/>
      <c r="P423" s="835"/>
      <c r="Q423" s="855"/>
      <c r="R423" s="855"/>
      <c r="S423" s="855"/>
      <c r="T423" s="855"/>
      <c r="U423" s="856"/>
      <c r="V423" s="857"/>
    </row>
    <row r="424" spans="2:22" s="829" customFormat="1" ht="25.5" outlineLevel="1">
      <c r="B424" s="830" t="s">
        <v>2809</v>
      </c>
      <c r="C424" s="854"/>
      <c r="D424" s="854" t="s">
        <v>3172</v>
      </c>
      <c r="E424" s="851"/>
      <c r="F424" s="852"/>
      <c r="G424" s="852"/>
      <c r="H424" s="11"/>
      <c r="I424" s="11" t="s">
        <v>1737</v>
      </c>
      <c r="J424" s="851" t="s">
        <v>2783</v>
      </c>
      <c r="K424" s="6" t="s">
        <v>2783</v>
      </c>
      <c r="L424" s="851">
        <v>5.6596714812108804</v>
      </c>
      <c r="M424" s="833" t="s">
        <v>2810</v>
      </c>
      <c r="N424" s="833" t="s">
        <v>2810</v>
      </c>
      <c r="O424" s="834"/>
      <c r="P424" s="835"/>
      <c r="Q424" s="855"/>
      <c r="R424" s="855"/>
      <c r="S424" s="855"/>
      <c r="T424" s="855"/>
      <c r="U424" s="856"/>
      <c r="V424" s="857"/>
    </row>
    <row r="425" spans="2:22" s="829" customFormat="1" ht="25.5" outlineLevel="1">
      <c r="B425" s="830" t="s">
        <v>2809</v>
      </c>
      <c r="C425" s="854"/>
      <c r="D425" s="854" t="s">
        <v>3172</v>
      </c>
      <c r="E425" s="851"/>
      <c r="F425" s="852"/>
      <c r="G425" s="852"/>
      <c r="H425" s="11"/>
      <c r="I425" s="11" t="s">
        <v>1737</v>
      </c>
      <c r="J425" s="851" t="s">
        <v>2783</v>
      </c>
      <c r="K425" s="6" t="s">
        <v>2783</v>
      </c>
      <c r="L425" s="851">
        <v>6.5244769706998085</v>
      </c>
      <c r="M425" s="833" t="s">
        <v>2810</v>
      </c>
      <c r="N425" s="833" t="s">
        <v>2810</v>
      </c>
      <c r="O425" s="834"/>
      <c r="P425" s="835"/>
      <c r="Q425" s="855"/>
      <c r="R425" s="855"/>
      <c r="S425" s="855"/>
      <c r="T425" s="855"/>
      <c r="U425" s="856"/>
      <c r="V425" s="857"/>
    </row>
    <row r="426" spans="2:22" s="829" customFormat="1" ht="180" outlineLevel="1">
      <c r="B426" s="830" t="s">
        <v>2809</v>
      </c>
      <c r="C426" s="830"/>
      <c r="D426" s="830" t="s">
        <v>3172</v>
      </c>
      <c r="E426" s="851" t="s">
        <v>3173</v>
      </c>
      <c r="F426" s="852"/>
      <c r="G426" s="852"/>
      <c r="H426" s="11"/>
      <c r="I426" s="11" t="s">
        <v>1737</v>
      </c>
      <c r="J426" s="851" t="s">
        <v>2783</v>
      </c>
      <c r="K426" s="6" t="s">
        <v>2783</v>
      </c>
      <c r="L426" s="851">
        <v>7.2067124124077404</v>
      </c>
      <c r="M426" s="833" t="s">
        <v>2810</v>
      </c>
      <c r="N426" s="833" t="s">
        <v>2810</v>
      </c>
      <c r="O426" s="834"/>
      <c r="P426" s="835"/>
      <c r="Q426" s="6"/>
      <c r="R426" s="6"/>
      <c r="S426" s="6"/>
      <c r="T426" s="6"/>
      <c r="U426" s="831"/>
      <c r="V426" s="836"/>
    </row>
    <row r="427" spans="2:22" s="829" customFormat="1" ht="180" outlineLevel="1">
      <c r="B427" s="830" t="s">
        <v>2809</v>
      </c>
      <c r="C427" s="830"/>
      <c r="D427" s="830" t="s">
        <v>3172</v>
      </c>
      <c r="E427" s="851" t="s">
        <v>3173</v>
      </c>
      <c r="F427" s="852"/>
      <c r="G427" s="852"/>
      <c r="H427" s="11"/>
      <c r="I427" s="11" t="s">
        <v>1737</v>
      </c>
      <c r="J427" s="851" t="s">
        <v>2783</v>
      </c>
      <c r="K427" s="6" t="s">
        <v>2783</v>
      </c>
      <c r="L427" s="851">
        <v>0.34849553280133155</v>
      </c>
      <c r="M427" s="833" t="s">
        <v>2810</v>
      </c>
      <c r="N427" s="833" t="s">
        <v>2810</v>
      </c>
      <c r="O427" s="834"/>
      <c r="P427" s="835"/>
      <c r="Q427" s="6"/>
      <c r="R427" s="6"/>
      <c r="S427" s="6"/>
      <c r="T427" s="6"/>
      <c r="U427" s="831"/>
      <c r="V427" s="836"/>
    </row>
    <row r="428" spans="2:22" s="829" customFormat="1" ht="180" outlineLevel="1">
      <c r="B428" s="830" t="s">
        <v>2809</v>
      </c>
      <c r="C428" s="830"/>
      <c r="D428" s="830" t="s">
        <v>3172</v>
      </c>
      <c r="E428" s="851" t="s">
        <v>3173</v>
      </c>
      <c r="F428" s="852"/>
      <c r="G428" s="852"/>
      <c r="H428" s="11"/>
      <c r="I428" s="11" t="s">
        <v>1737</v>
      </c>
      <c r="J428" s="851" t="s">
        <v>2783</v>
      </c>
      <c r="K428" s="6" t="s">
        <v>2783</v>
      </c>
      <c r="L428" s="851">
        <v>0.52274329920199736</v>
      </c>
      <c r="M428" s="833" t="s">
        <v>2810</v>
      </c>
      <c r="N428" s="833" t="s">
        <v>2810</v>
      </c>
      <c r="O428" s="834"/>
      <c r="P428" s="835"/>
      <c r="Q428" s="6"/>
      <c r="R428" s="6"/>
      <c r="S428" s="6"/>
      <c r="T428" s="6"/>
      <c r="U428" s="831"/>
      <c r="V428" s="836"/>
    </row>
    <row r="429" spans="2:22" s="829" customFormat="1" ht="180" outlineLevel="1">
      <c r="B429" s="830" t="s">
        <v>2809</v>
      </c>
      <c r="C429" s="830"/>
      <c r="D429" s="830" t="s">
        <v>3172</v>
      </c>
      <c r="E429" s="851" t="s">
        <v>3173</v>
      </c>
      <c r="F429" s="852"/>
      <c r="G429" s="852"/>
      <c r="H429" s="11"/>
      <c r="I429" s="11" t="s">
        <v>1737</v>
      </c>
      <c r="J429" s="851" t="s">
        <v>2783</v>
      </c>
      <c r="K429" s="6" t="s">
        <v>2783</v>
      </c>
      <c r="L429" s="851">
        <v>0.81315624320310698</v>
      </c>
      <c r="M429" s="833" t="s">
        <v>2810</v>
      </c>
      <c r="N429" s="833" t="s">
        <v>2810</v>
      </c>
      <c r="O429" s="834"/>
      <c r="P429" s="835"/>
      <c r="Q429" s="6"/>
      <c r="R429" s="6"/>
      <c r="S429" s="6"/>
      <c r="T429" s="6"/>
      <c r="U429" s="831"/>
      <c r="V429" s="836"/>
    </row>
    <row r="430" spans="2:22" s="829" customFormat="1" ht="180" outlineLevel="1">
      <c r="B430" s="830" t="s">
        <v>2809</v>
      </c>
      <c r="C430" s="830"/>
      <c r="D430" s="830" t="s">
        <v>3172</v>
      </c>
      <c r="E430" s="851" t="s">
        <v>3173</v>
      </c>
      <c r="F430" s="852"/>
      <c r="G430" s="852"/>
      <c r="H430" s="11"/>
      <c r="I430" s="11" t="s">
        <v>1737</v>
      </c>
      <c r="J430" s="851" t="s">
        <v>2783</v>
      </c>
      <c r="K430" s="6" t="s">
        <v>2783</v>
      </c>
      <c r="L430" s="851">
        <v>1.1616517760044385</v>
      </c>
      <c r="M430" s="833" t="s">
        <v>2810</v>
      </c>
      <c r="N430" s="833" t="s">
        <v>2810</v>
      </c>
      <c r="O430" s="834"/>
      <c r="P430" s="835"/>
      <c r="Q430" s="6"/>
      <c r="R430" s="6"/>
      <c r="S430" s="6"/>
      <c r="T430" s="6"/>
      <c r="U430" s="831"/>
      <c r="V430" s="836"/>
    </row>
    <row r="431" spans="2:22" s="829" customFormat="1" ht="180" outlineLevel="1">
      <c r="B431" s="830" t="s">
        <v>2809</v>
      </c>
      <c r="C431" s="830"/>
      <c r="D431" s="830" t="s">
        <v>3172</v>
      </c>
      <c r="E431" s="851" t="s">
        <v>3173</v>
      </c>
      <c r="F431" s="852"/>
      <c r="G431" s="852"/>
      <c r="H431" s="11"/>
      <c r="I431" s="11" t="s">
        <v>1737</v>
      </c>
      <c r="J431" s="851" t="s">
        <v>2783</v>
      </c>
      <c r="K431" s="6" t="s">
        <v>2783</v>
      </c>
      <c r="L431" s="851">
        <v>1.5682298976059919</v>
      </c>
      <c r="M431" s="833" t="s">
        <v>2810</v>
      </c>
      <c r="N431" s="833" t="s">
        <v>2810</v>
      </c>
      <c r="O431" s="834"/>
      <c r="P431" s="835"/>
      <c r="Q431" s="6"/>
      <c r="R431" s="6"/>
      <c r="S431" s="6"/>
      <c r="T431" s="6"/>
      <c r="U431" s="831"/>
      <c r="V431" s="836"/>
    </row>
    <row r="432" spans="2:22" s="829" customFormat="1" ht="25.5" outlineLevel="1">
      <c r="B432" s="830" t="s">
        <v>2809</v>
      </c>
      <c r="C432" s="854"/>
      <c r="D432" s="854" t="s">
        <v>3172</v>
      </c>
      <c r="E432" s="851"/>
      <c r="F432" s="852"/>
      <c r="G432" s="852"/>
      <c r="H432" s="11"/>
      <c r="I432" s="11" t="s">
        <v>1737</v>
      </c>
      <c r="J432" s="851" t="s">
        <v>2783</v>
      </c>
      <c r="K432" s="6" t="s">
        <v>2783</v>
      </c>
      <c r="L432" s="851">
        <v>1.9167254304073236</v>
      </c>
      <c r="M432" s="833" t="s">
        <v>2810</v>
      </c>
      <c r="N432" s="833" t="s">
        <v>2810</v>
      </c>
      <c r="O432" s="834"/>
      <c r="P432" s="835"/>
      <c r="Q432" s="855"/>
      <c r="R432" s="855"/>
      <c r="S432" s="855"/>
      <c r="T432" s="855"/>
      <c r="U432" s="856"/>
      <c r="V432" s="857"/>
    </row>
    <row r="433" spans="2:22" s="829" customFormat="1" ht="25.5" outlineLevel="1">
      <c r="B433" s="830" t="s">
        <v>2809</v>
      </c>
      <c r="C433" s="854"/>
      <c r="D433" s="854" t="s">
        <v>3172</v>
      </c>
      <c r="E433" s="851"/>
      <c r="F433" s="852"/>
      <c r="G433" s="852"/>
      <c r="H433" s="11"/>
      <c r="I433" s="11" t="s">
        <v>1737</v>
      </c>
      <c r="J433" s="851" t="s">
        <v>2783</v>
      </c>
      <c r="K433" s="6" t="s">
        <v>2783</v>
      </c>
      <c r="L433" s="851">
        <v>2.4394687296093212</v>
      </c>
      <c r="M433" s="833" t="s">
        <v>2810</v>
      </c>
      <c r="N433" s="833" t="s">
        <v>2810</v>
      </c>
      <c r="O433" s="834"/>
      <c r="P433" s="835"/>
      <c r="Q433" s="855"/>
      <c r="R433" s="855"/>
      <c r="S433" s="855"/>
      <c r="T433" s="855"/>
      <c r="U433" s="856"/>
      <c r="V433" s="857"/>
    </row>
    <row r="434" spans="2:22" s="829" customFormat="1" ht="25.5" outlineLevel="1">
      <c r="B434" s="830" t="s">
        <v>2809</v>
      </c>
      <c r="C434" s="854"/>
      <c r="D434" s="854" t="s">
        <v>3172</v>
      </c>
      <c r="E434" s="851"/>
      <c r="F434" s="852"/>
      <c r="G434" s="852"/>
      <c r="H434" s="11"/>
      <c r="I434" s="11" t="s">
        <v>1737</v>
      </c>
      <c r="J434" s="851" t="s">
        <v>2783</v>
      </c>
      <c r="K434" s="6" t="s">
        <v>2783</v>
      </c>
      <c r="L434" s="851">
        <v>2.8613317430004068</v>
      </c>
      <c r="M434" s="833" t="s">
        <v>2810</v>
      </c>
      <c r="N434" s="833" t="s">
        <v>2810</v>
      </c>
      <c r="O434" s="834"/>
      <c r="P434" s="835"/>
      <c r="Q434" s="855"/>
      <c r="R434" s="855"/>
      <c r="S434" s="855"/>
      <c r="T434" s="855"/>
      <c r="U434" s="856"/>
      <c r="V434" s="857"/>
    </row>
    <row r="435" spans="2:22" s="829" customFormat="1" ht="25.5" outlineLevel="1">
      <c r="B435" s="830" t="s">
        <v>2809</v>
      </c>
      <c r="C435" s="854"/>
      <c r="D435" s="854" t="s">
        <v>3172</v>
      </c>
      <c r="E435" s="851"/>
      <c r="F435" s="852"/>
      <c r="G435" s="852"/>
      <c r="H435" s="11"/>
      <c r="I435" s="11" t="s">
        <v>1737</v>
      </c>
      <c r="J435" s="851" t="s">
        <v>2783</v>
      </c>
      <c r="K435" s="6" t="s">
        <v>2783</v>
      </c>
      <c r="L435" s="851">
        <v>3.016218646467665</v>
      </c>
      <c r="M435" s="833" t="s">
        <v>2810</v>
      </c>
      <c r="N435" s="833" t="s">
        <v>2810</v>
      </c>
      <c r="O435" s="834"/>
      <c r="P435" s="835"/>
      <c r="Q435" s="855"/>
      <c r="R435" s="855"/>
      <c r="S435" s="855"/>
      <c r="T435" s="855"/>
      <c r="U435" s="856"/>
      <c r="V435" s="857"/>
    </row>
    <row r="436" spans="2:22" s="829" customFormat="1" ht="25.5" outlineLevel="1">
      <c r="B436" s="830" t="s">
        <v>2809</v>
      </c>
      <c r="C436" s="854"/>
      <c r="D436" s="854" t="s">
        <v>3172</v>
      </c>
      <c r="E436" s="851"/>
      <c r="F436" s="852"/>
      <c r="G436" s="852"/>
      <c r="H436" s="11"/>
      <c r="I436" s="11" t="s">
        <v>1737</v>
      </c>
      <c r="J436" s="851" t="s">
        <v>2783</v>
      </c>
      <c r="K436" s="6" t="s">
        <v>2783</v>
      </c>
      <c r="L436" s="851">
        <v>4.0088375015055133</v>
      </c>
      <c r="M436" s="833" t="s">
        <v>2810</v>
      </c>
      <c r="N436" s="833" t="s">
        <v>2810</v>
      </c>
      <c r="O436" s="834"/>
      <c r="P436" s="835"/>
      <c r="Q436" s="855"/>
      <c r="R436" s="855"/>
      <c r="S436" s="855"/>
      <c r="T436" s="855"/>
      <c r="U436" s="856"/>
      <c r="V436" s="857"/>
    </row>
    <row r="437" spans="2:22" s="829" customFormat="1" ht="25.5" outlineLevel="1">
      <c r="B437" s="830" t="s">
        <v>2809</v>
      </c>
      <c r="C437" s="854"/>
      <c r="D437" s="854" t="s">
        <v>3172</v>
      </c>
      <c r="E437" s="851"/>
      <c r="F437" s="852"/>
      <c r="G437" s="852"/>
      <c r="H437" s="11"/>
      <c r="I437" s="11" t="s">
        <v>1737</v>
      </c>
      <c r="J437" s="851" t="s">
        <v>2783</v>
      </c>
      <c r="K437" s="6" t="s">
        <v>2783</v>
      </c>
      <c r="L437" s="851">
        <v>5.0736849628429148</v>
      </c>
      <c r="M437" s="833" t="s">
        <v>2810</v>
      </c>
      <c r="N437" s="833" t="s">
        <v>2810</v>
      </c>
      <c r="O437" s="834"/>
      <c r="P437" s="835"/>
      <c r="Q437" s="855"/>
      <c r="R437" s="855"/>
      <c r="S437" s="855"/>
      <c r="T437" s="855"/>
      <c r="U437" s="856"/>
      <c r="V437" s="857"/>
    </row>
    <row r="438" spans="2:22" s="829" customFormat="1" ht="25.5" outlineLevel="1">
      <c r="B438" s="830" t="s">
        <v>2809</v>
      </c>
      <c r="C438" s="854"/>
      <c r="D438" s="854" t="s">
        <v>3172</v>
      </c>
      <c r="E438" s="851"/>
      <c r="F438" s="852"/>
      <c r="G438" s="852"/>
      <c r="H438" s="11"/>
      <c r="I438" s="11" t="s">
        <v>1737</v>
      </c>
      <c r="J438" s="851" t="s">
        <v>2783</v>
      </c>
      <c r="K438" s="6" t="s">
        <v>2783</v>
      </c>
      <c r="L438" s="851">
        <v>5.401680758420639</v>
      </c>
      <c r="M438" s="833" t="s">
        <v>2810</v>
      </c>
      <c r="N438" s="833" t="s">
        <v>2810</v>
      </c>
      <c r="O438" s="834"/>
      <c r="P438" s="835"/>
      <c r="Q438" s="855"/>
      <c r="R438" s="855"/>
      <c r="S438" s="855"/>
      <c r="T438" s="855"/>
      <c r="U438" s="856"/>
      <c r="V438" s="857"/>
    </row>
    <row r="439" spans="2:22" s="829" customFormat="1" ht="25.5" outlineLevel="1">
      <c r="B439" s="830" t="s">
        <v>2809</v>
      </c>
      <c r="C439" s="854"/>
      <c r="D439" s="854" t="s">
        <v>3172</v>
      </c>
      <c r="E439" s="851"/>
      <c r="F439" s="852"/>
      <c r="G439" s="852"/>
      <c r="H439" s="11"/>
      <c r="I439" s="11" t="s">
        <v>1737</v>
      </c>
      <c r="J439" s="851" t="s">
        <v>2783</v>
      </c>
      <c r="K439" s="6" t="s">
        <v>2783</v>
      </c>
      <c r="L439" s="851">
        <v>6.4563382918983523</v>
      </c>
      <c r="M439" s="833" t="s">
        <v>2810</v>
      </c>
      <c r="N439" s="833" t="s">
        <v>2810</v>
      </c>
      <c r="O439" s="834"/>
      <c r="P439" s="835"/>
      <c r="Q439" s="855"/>
      <c r="R439" s="855"/>
      <c r="S439" s="855"/>
      <c r="T439" s="855"/>
      <c r="U439" s="856"/>
      <c r="V439" s="857"/>
    </row>
    <row r="440" spans="2:22" s="829" customFormat="1" ht="25.5" outlineLevel="1">
      <c r="B440" s="830" t="s">
        <v>2809</v>
      </c>
      <c r="C440" s="854"/>
      <c r="D440" s="854" t="s">
        <v>3172</v>
      </c>
      <c r="E440" s="851"/>
      <c r="F440" s="852"/>
      <c r="G440" s="852"/>
      <c r="H440" s="11"/>
      <c r="I440" s="11" t="s">
        <v>1737</v>
      </c>
      <c r="J440" s="851" t="s">
        <v>2783</v>
      </c>
      <c r="K440" s="6" t="s">
        <v>2783</v>
      </c>
      <c r="L440" s="851">
        <v>7.3367480589754006</v>
      </c>
      <c r="M440" s="833" t="s">
        <v>2810</v>
      </c>
      <c r="N440" s="833" t="s">
        <v>2810</v>
      </c>
      <c r="O440" s="834"/>
      <c r="P440" s="835"/>
      <c r="Q440" s="855"/>
      <c r="R440" s="855"/>
      <c r="S440" s="855"/>
      <c r="T440" s="855"/>
      <c r="U440" s="856"/>
      <c r="V440" s="857"/>
    </row>
    <row r="441" spans="2:22" s="829" customFormat="1" ht="180" outlineLevel="1">
      <c r="B441" s="830" t="s">
        <v>2809</v>
      </c>
      <c r="C441" s="830"/>
      <c r="D441" s="830" t="s">
        <v>3172</v>
      </c>
      <c r="E441" s="851" t="s">
        <v>3173</v>
      </c>
      <c r="F441" s="852"/>
      <c r="G441" s="852"/>
      <c r="H441" s="11"/>
      <c r="I441" s="11" t="s">
        <v>1613</v>
      </c>
      <c r="J441" s="851" t="s">
        <v>2783</v>
      </c>
      <c r="K441" s="6" t="s">
        <v>2783</v>
      </c>
      <c r="L441" s="851">
        <v>14160</v>
      </c>
      <c r="M441" s="833" t="s">
        <v>2810</v>
      </c>
      <c r="N441" s="833" t="s">
        <v>2810</v>
      </c>
      <c r="O441" s="834"/>
      <c r="P441" s="835"/>
      <c r="Q441" s="6"/>
      <c r="R441" s="6"/>
      <c r="S441" s="6"/>
      <c r="T441" s="6"/>
      <c r="U441" s="831"/>
      <c r="V441" s="836"/>
    </row>
    <row r="442" spans="2:22" s="829" customFormat="1" ht="180" outlineLevel="1">
      <c r="B442" s="830" t="s">
        <v>2809</v>
      </c>
      <c r="C442" s="830"/>
      <c r="D442" s="830" t="s">
        <v>3172</v>
      </c>
      <c r="E442" s="851" t="s">
        <v>3173</v>
      </c>
      <c r="F442" s="852"/>
      <c r="G442" s="852"/>
      <c r="H442" s="11"/>
      <c r="I442" s="11" t="s">
        <v>1613</v>
      </c>
      <c r="J442" s="851" t="s">
        <v>2783</v>
      </c>
      <c r="K442" s="6" t="s">
        <v>2783</v>
      </c>
      <c r="L442" s="851" t="s">
        <v>1489</v>
      </c>
      <c r="M442" s="833" t="s">
        <v>2810</v>
      </c>
      <c r="N442" s="833" t="s">
        <v>2810</v>
      </c>
      <c r="O442" s="834"/>
      <c r="P442" s="835"/>
      <c r="Q442" s="6"/>
      <c r="R442" s="6"/>
      <c r="S442" s="6"/>
      <c r="T442" s="6"/>
      <c r="U442" s="831"/>
      <c r="V442" s="836"/>
    </row>
    <row r="443" spans="2:22" s="829" customFormat="1" ht="180" outlineLevel="1">
      <c r="B443" s="830" t="s">
        <v>2809</v>
      </c>
      <c r="C443" s="830"/>
      <c r="D443" s="830" t="s">
        <v>3172</v>
      </c>
      <c r="E443" s="851" t="s">
        <v>3173</v>
      </c>
      <c r="F443" s="852"/>
      <c r="G443" s="852"/>
      <c r="H443" s="11"/>
      <c r="I443" s="11" t="s">
        <v>1613</v>
      </c>
      <c r="J443" s="851" t="s">
        <v>2783</v>
      </c>
      <c r="K443" s="6" t="s">
        <v>2783</v>
      </c>
      <c r="L443" s="851" t="s">
        <v>1489</v>
      </c>
      <c r="M443" s="833" t="s">
        <v>2810</v>
      </c>
      <c r="N443" s="833" t="s">
        <v>2810</v>
      </c>
      <c r="O443" s="834"/>
      <c r="P443" s="835"/>
      <c r="Q443" s="6"/>
      <c r="R443" s="6"/>
      <c r="S443" s="6"/>
      <c r="T443" s="6"/>
      <c r="U443" s="831"/>
      <c r="V443" s="836"/>
    </row>
    <row r="444" spans="2:22" s="829" customFormat="1" ht="180" outlineLevel="1">
      <c r="B444" s="830" t="s">
        <v>2809</v>
      </c>
      <c r="C444" s="830"/>
      <c r="D444" s="830" t="s">
        <v>3172</v>
      </c>
      <c r="E444" s="851" t="s">
        <v>3173</v>
      </c>
      <c r="F444" s="852"/>
      <c r="G444" s="852"/>
      <c r="H444" s="11"/>
      <c r="I444" s="11" t="s">
        <v>1613</v>
      </c>
      <c r="J444" s="851" t="s">
        <v>2783</v>
      </c>
      <c r="K444" s="6" t="s">
        <v>2783</v>
      </c>
      <c r="L444" s="851">
        <v>6726.2274169792872</v>
      </c>
      <c r="M444" s="833" t="s">
        <v>2810</v>
      </c>
      <c r="N444" s="833" t="s">
        <v>2810</v>
      </c>
      <c r="O444" s="834"/>
      <c r="P444" s="835"/>
      <c r="Q444" s="6"/>
      <c r="R444" s="6"/>
      <c r="S444" s="6"/>
      <c r="T444" s="6"/>
      <c r="U444" s="831"/>
      <c r="V444" s="836"/>
    </row>
    <row r="445" spans="2:22" s="829" customFormat="1" ht="180" outlineLevel="1">
      <c r="B445" s="830" t="s">
        <v>2809</v>
      </c>
      <c r="C445" s="830"/>
      <c r="D445" s="830" t="s">
        <v>3172</v>
      </c>
      <c r="E445" s="851" t="s">
        <v>3173</v>
      </c>
      <c r="F445" s="852"/>
      <c r="G445" s="852"/>
      <c r="H445" s="11"/>
      <c r="I445" s="11" t="s">
        <v>1613</v>
      </c>
      <c r="J445" s="851" t="s">
        <v>2783</v>
      </c>
      <c r="K445" s="6" t="s">
        <v>2783</v>
      </c>
      <c r="L445" s="851">
        <v>4959.7434488837189</v>
      </c>
      <c r="M445" s="833" t="s">
        <v>2810</v>
      </c>
      <c r="N445" s="833" t="s">
        <v>2810</v>
      </c>
      <c r="O445" s="834"/>
      <c r="P445" s="835"/>
      <c r="Q445" s="6"/>
      <c r="R445" s="6"/>
      <c r="S445" s="6"/>
      <c r="T445" s="6"/>
      <c r="U445" s="831"/>
      <c r="V445" s="836"/>
    </row>
    <row r="446" spans="2:22" s="829" customFormat="1" ht="180" outlineLevel="1">
      <c r="B446" s="830" t="s">
        <v>2809</v>
      </c>
      <c r="C446" s="830"/>
      <c r="D446" s="830" t="s">
        <v>3172</v>
      </c>
      <c r="E446" s="851" t="s">
        <v>3173</v>
      </c>
      <c r="F446" s="852"/>
      <c r="G446" s="852"/>
      <c r="H446" s="11"/>
      <c r="I446" s="11" t="s">
        <v>1613</v>
      </c>
      <c r="J446" s="851" t="s">
        <v>2783</v>
      </c>
      <c r="K446" s="6" t="s">
        <v>2783</v>
      </c>
      <c r="L446" s="851">
        <v>4384.0589414240003</v>
      </c>
      <c r="M446" s="833" t="s">
        <v>2810</v>
      </c>
      <c r="N446" s="833" t="s">
        <v>2810</v>
      </c>
      <c r="O446" s="834"/>
      <c r="P446" s="835"/>
      <c r="Q446" s="6"/>
      <c r="R446" s="6"/>
      <c r="S446" s="6"/>
      <c r="T446" s="6"/>
      <c r="U446" s="831"/>
      <c r="V446" s="836"/>
    </row>
    <row r="447" spans="2:22" s="829" customFormat="1" ht="180" outlineLevel="1">
      <c r="B447" s="830" t="s">
        <v>2809</v>
      </c>
      <c r="C447" s="830"/>
      <c r="D447" s="830" t="s">
        <v>3172</v>
      </c>
      <c r="E447" s="851" t="s">
        <v>3173</v>
      </c>
      <c r="F447" s="852"/>
      <c r="G447" s="852"/>
      <c r="H447" s="11"/>
      <c r="I447" s="11" t="s">
        <v>1613</v>
      </c>
      <c r="J447" s="851" t="s">
        <v>2783</v>
      </c>
      <c r="K447" s="6" t="s">
        <v>2783</v>
      </c>
      <c r="L447" s="851">
        <v>4384.0589414240003</v>
      </c>
      <c r="M447" s="833" t="s">
        <v>2810</v>
      </c>
      <c r="N447" s="833" t="s">
        <v>2810</v>
      </c>
      <c r="O447" s="834"/>
      <c r="P447" s="835"/>
      <c r="Q447" s="6"/>
      <c r="R447" s="6"/>
      <c r="S447" s="6"/>
      <c r="T447" s="6"/>
      <c r="U447" s="831"/>
      <c r="V447" s="836"/>
    </row>
    <row r="448" spans="2:22" s="829" customFormat="1" ht="180" outlineLevel="1">
      <c r="B448" s="830" t="s">
        <v>2809</v>
      </c>
      <c r="C448" s="830"/>
      <c r="D448" s="830" t="s">
        <v>3172</v>
      </c>
      <c r="E448" s="851" t="s">
        <v>3173</v>
      </c>
      <c r="F448" s="852"/>
      <c r="G448" s="852"/>
      <c r="H448" s="11"/>
      <c r="I448" s="11" t="s">
        <v>1613</v>
      </c>
      <c r="J448" s="851" t="s">
        <v>2783</v>
      </c>
      <c r="K448" s="6" t="s">
        <v>2783</v>
      </c>
      <c r="L448" s="851">
        <v>9450</v>
      </c>
      <c r="M448" s="833" t="s">
        <v>2810</v>
      </c>
      <c r="N448" s="833" t="s">
        <v>2810</v>
      </c>
      <c r="O448" s="834"/>
      <c r="P448" s="835"/>
      <c r="Q448" s="6"/>
      <c r="R448" s="6"/>
      <c r="S448" s="6"/>
      <c r="T448" s="6"/>
      <c r="U448" s="831"/>
      <c r="V448" s="836"/>
    </row>
    <row r="449" spans="2:22" s="829" customFormat="1" ht="180" outlineLevel="1">
      <c r="B449" s="830" t="s">
        <v>2809</v>
      </c>
      <c r="C449" s="830"/>
      <c r="D449" s="830" t="s">
        <v>3172</v>
      </c>
      <c r="E449" s="851" t="s">
        <v>3173</v>
      </c>
      <c r="F449" s="852"/>
      <c r="G449" s="852"/>
      <c r="H449" s="11"/>
      <c r="I449" s="11" t="s">
        <v>1613</v>
      </c>
      <c r="J449" s="851" t="s">
        <v>2783</v>
      </c>
      <c r="K449" s="6" t="s">
        <v>2783</v>
      </c>
      <c r="L449" s="851" t="s">
        <v>1489</v>
      </c>
      <c r="M449" s="833" t="s">
        <v>2810</v>
      </c>
      <c r="N449" s="833" t="s">
        <v>2810</v>
      </c>
      <c r="O449" s="834"/>
      <c r="P449" s="835"/>
      <c r="Q449" s="6"/>
      <c r="R449" s="6"/>
      <c r="S449" s="6"/>
      <c r="T449" s="6"/>
      <c r="U449" s="831"/>
      <c r="V449" s="836"/>
    </row>
    <row r="450" spans="2:22" s="829" customFormat="1" ht="180" outlineLevel="1">
      <c r="B450" s="830" t="s">
        <v>2809</v>
      </c>
      <c r="C450" s="830"/>
      <c r="D450" s="830" t="s">
        <v>3172</v>
      </c>
      <c r="E450" s="851" t="s">
        <v>3173</v>
      </c>
      <c r="F450" s="852"/>
      <c r="G450" s="852"/>
      <c r="H450" s="11"/>
      <c r="I450" s="11" t="s">
        <v>1613</v>
      </c>
      <c r="J450" s="851" t="s">
        <v>2783</v>
      </c>
      <c r="K450" s="6" t="s">
        <v>2783</v>
      </c>
      <c r="L450" s="851" t="s">
        <v>1489</v>
      </c>
      <c r="M450" s="833" t="s">
        <v>2810</v>
      </c>
      <c r="N450" s="833" t="s">
        <v>2810</v>
      </c>
      <c r="O450" s="834"/>
      <c r="P450" s="835"/>
      <c r="Q450" s="6"/>
      <c r="R450" s="6"/>
      <c r="S450" s="6"/>
      <c r="T450" s="6"/>
      <c r="U450" s="831"/>
      <c r="V450" s="836"/>
    </row>
    <row r="451" spans="2:22" s="829" customFormat="1" ht="180" outlineLevel="1">
      <c r="B451" s="830" t="s">
        <v>2809</v>
      </c>
      <c r="C451" s="830"/>
      <c r="D451" s="830" t="s">
        <v>3172</v>
      </c>
      <c r="E451" s="851" t="s">
        <v>3173</v>
      </c>
      <c r="F451" s="852"/>
      <c r="G451" s="852"/>
      <c r="H451" s="11"/>
      <c r="I451" s="11" t="s">
        <v>1613</v>
      </c>
      <c r="J451" s="851" t="s">
        <v>2783</v>
      </c>
      <c r="K451" s="6" t="s">
        <v>2783</v>
      </c>
      <c r="L451" s="851" t="s">
        <v>1489</v>
      </c>
      <c r="M451" s="833" t="s">
        <v>2810</v>
      </c>
      <c r="N451" s="833" t="s">
        <v>2810</v>
      </c>
      <c r="O451" s="834"/>
      <c r="P451" s="835"/>
      <c r="Q451" s="6"/>
      <c r="R451" s="6"/>
      <c r="S451" s="6"/>
      <c r="T451" s="6"/>
      <c r="U451" s="831"/>
      <c r="V451" s="836"/>
    </row>
    <row r="452" spans="2:22" s="829" customFormat="1" ht="180" outlineLevel="1">
      <c r="B452" s="830" t="s">
        <v>2809</v>
      </c>
      <c r="C452" s="830"/>
      <c r="D452" s="830" t="s">
        <v>3172</v>
      </c>
      <c r="E452" s="851" t="s">
        <v>3173</v>
      </c>
      <c r="F452" s="852"/>
      <c r="G452" s="852"/>
      <c r="H452" s="11"/>
      <c r="I452" s="11" t="s">
        <v>1613</v>
      </c>
      <c r="J452" s="851" t="s">
        <v>2783</v>
      </c>
      <c r="K452" s="6" t="s">
        <v>2783</v>
      </c>
      <c r="L452" s="851">
        <v>2996.0212969189101</v>
      </c>
      <c r="M452" s="833" t="s">
        <v>2810</v>
      </c>
      <c r="N452" s="833" t="s">
        <v>2810</v>
      </c>
      <c r="O452" s="834"/>
      <c r="P452" s="835"/>
      <c r="Q452" s="6"/>
      <c r="R452" s="6"/>
      <c r="S452" s="6"/>
      <c r="T452" s="6"/>
      <c r="U452" s="831"/>
      <c r="V452" s="836"/>
    </row>
    <row r="453" spans="2:22" s="829" customFormat="1" ht="180" outlineLevel="1">
      <c r="B453" s="830" t="s">
        <v>2809</v>
      </c>
      <c r="C453" s="830"/>
      <c r="D453" s="830" t="s">
        <v>3172</v>
      </c>
      <c r="E453" s="851" t="s">
        <v>3173</v>
      </c>
      <c r="F453" s="852"/>
      <c r="G453" s="852"/>
      <c r="H453" s="11"/>
      <c r="I453" s="11" t="s">
        <v>1613</v>
      </c>
      <c r="J453" s="851" t="s">
        <v>2783</v>
      </c>
      <c r="K453" s="6" t="s">
        <v>2783</v>
      </c>
      <c r="L453" s="851">
        <v>2621.5186348040461</v>
      </c>
      <c r="M453" s="833" t="s">
        <v>2810</v>
      </c>
      <c r="N453" s="833" t="s">
        <v>2810</v>
      </c>
      <c r="O453" s="834"/>
      <c r="P453" s="835"/>
      <c r="Q453" s="6"/>
      <c r="R453" s="6"/>
      <c r="S453" s="6"/>
      <c r="T453" s="6"/>
      <c r="U453" s="831"/>
      <c r="V453" s="836"/>
    </row>
    <row r="454" spans="2:22" s="829" customFormat="1" ht="180" outlineLevel="1">
      <c r="B454" s="830" t="s">
        <v>2809</v>
      </c>
      <c r="C454" s="830"/>
      <c r="D454" s="830" t="s">
        <v>3172</v>
      </c>
      <c r="E454" s="851" t="s">
        <v>3173</v>
      </c>
      <c r="F454" s="852"/>
      <c r="G454" s="852"/>
      <c r="H454" s="11"/>
      <c r="I454" s="11" t="s">
        <v>1613</v>
      </c>
      <c r="J454" s="851" t="s">
        <v>2783</v>
      </c>
      <c r="K454" s="6" t="s">
        <v>2783</v>
      </c>
      <c r="L454" s="851">
        <v>2621.5186348040461</v>
      </c>
      <c r="M454" s="833" t="s">
        <v>2810</v>
      </c>
      <c r="N454" s="833" t="s">
        <v>2810</v>
      </c>
      <c r="O454" s="834"/>
      <c r="P454" s="835"/>
      <c r="Q454" s="6"/>
      <c r="R454" s="6"/>
      <c r="S454" s="6"/>
      <c r="T454" s="6"/>
      <c r="U454" s="831"/>
      <c r="V454" s="836"/>
    </row>
    <row r="455" spans="2:22" s="829" customFormat="1" ht="180" outlineLevel="1">
      <c r="B455" s="830" t="s">
        <v>2809</v>
      </c>
      <c r="C455" s="830"/>
      <c r="D455" s="830" t="s">
        <v>3172</v>
      </c>
      <c r="E455" s="851" t="s">
        <v>3173</v>
      </c>
      <c r="F455" s="852"/>
      <c r="G455" s="852"/>
      <c r="H455" s="11"/>
      <c r="I455" s="11" t="s">
        <v>1613</v>
      </c>
      <c r="J455" s="851" t="s">
        <v>2783</v>
      </c>
      <c r="K455" s="6" t="s">
        <v>2783</v>
      </c>
      <c r="L455" s="851">
        <v>4665.5213798821424</v>
      </c>
      <c r="M455" s="833" t="s">
        <v>2810</v>
      </c>
      <c r="N455" s="833" t="s">
        <v>2810</v>
      </c>
      <c r="O455" s="834"/>
      <c r="P455" s="835"/>
      <c r="Q455" s="6"/>
      <c r="R455" s="6"/>
      <c r="S455" s="6"/>
      <c r="T455" s="6"/>
      <c r="U455" s="831"/>
      <c r="V455" s="836"/>
    </row>
    <row r="456" spans="2:22" s="829" customFormat="1" ht="180" outlineLevel="1">
      <c r="B456" s="830" t="s">
        <v>2809</v>
      </c>
      <c r="C456" s="830"/>
      <c r="D456" s="830" t="s">
        <v>3172</v>
      </c>
      <c r="E456" s="851" t="s">
        <v>3173</v>
      </c>
      <c r="F456" s="852"/>
      <c r="G456" s="852"/>
      <c r="H456" s="11"/>
      <c r="I456" s="11" t="s">
        <v>1613</v>
      </c>
      <c r="J456" s="851" t="s">
        <v>2783</v>
      </c>
      <c r="K456" s="6" t="s">
        <v>2783</v>
      </c>
      <c r="L456" s="851" t="s">
        <v>1489</v>
      </c>
      <c r="M456" s="833" t="s">
        <v>2810</v>
      </c>
      <c r="N456" s="833" t="s">
        <v>2810</v>
      </c>
      <c r="O456" s="834"/>
      <c r="P456" s="835"/>
      <c r="Q456" s="6"/>
      <c r="R456" s="6"/>
      <c r="S456" s="6"/>
      <c r="T456" s="6"/>
      <c r="U456" s="831"/>
      <c r="V456" s="836"/>
    </row>
    <row r="457" spans="2:22" s="829" customFormat="1" ht="180" outlineLevel="1">
      <c r="B457" s="830" t="s">
        <v>2809</v>
      </c>
      <c r="C457" s="830"/>
      <c r="D457" s="830" t="s">
        <v>3172</v>
      </c>
      <c r="E457" s="851" t="s">
        <v>3173</v>
      </c>
      <c r="F457" s="852"/>
      <c r="G457" s="852"/>
      <c r="H457" s="11"/>
      <c r="I457" s="11" t="s">
        <v>1613</v>
      </c>
      <c r="J457" s="851" t="s">
        <v>2783</v>
      </c>
      <c r="K457" s="6" t="s">
        <v>2783</v>
      </c>
      <c r="L457" s="851" t="s">
        <v>1489</v>
      </c>
      <c r="M457" s="833" t="s">
        <v>2810</v>
      </c>
      <c r="N457" s="833" t="s">
        <v>2810</v>
      </c>
      <c r="O457" s="834"/>
      <c r="P457" s="835"/>
      <c r="Q457" s="6"/>
      <c r="R457" s="6"/>
      <c r="S457" s="6"/>
      <c r="T457" s="6"/>
      <c r="U457" s="831"/>
      <c r="V457" s="836"/>
    </row>
    <row r="458" spans="2:22" s="829" customFormat="1" ht="180" outlineLevel="1">
      <c r="B458" s="830" t="s">
        <v>2809</v>
      </c>
      <c r="C458" s="830"/>
      <c r="D458" s="830" t="s">
        <v>3172</v>
      </c>
      <c r="E458" s="851" t="s">
        <v>3173</v>
      </c>
      <c r="F458" s="852"/>
      <c r="G458" s="852"/>
      <c r="H458" s="11"/>
      <c r="I458" s="11" t="s">
        <v>1613</v>
      </c>
      <c r="J458" s="851" t="s">
        <v>2783</v>
      </c>
      <c r="K458" s="6" t="s">
        <v>2783</v>
      </c>
      <c r="L458" s="851">
        <v>10741.549223449578</v>
      </c>
      <c r="M458" s="833" t="s">
        <v>2810</v>
      </c>
      <c r="N458" s="833" t="s">
        <v>2810</v>
      </c>
      <c r="O458" s="834"/>
      <c r="P458" s="835"/>
      <c r="Q458" s="6"/>
      <c r="R458" s="6"/>
      <c r="S458" s="6"/>
      <c r="T458" s="6"/>
      <c r="U458" s="831"/>
      <c r="V458" s="836"/>
    </row>
    <row r="459" spans="2:22" s="829" customFormat="1" ht="180" outlineLevel="1">
      <c r="B459" s="830" t="s">
        <v>2809</v>
      </c>
      <c r="C459" s="830"/>
      <c r="D459" s="830" t="s">
        <v>3172</v>
      </c>
      <c r="E459" s="851" t="s">
        <v>3173</v>
      </c>
      <c r="F459" s="852"/>
      <c r="G459" s="852"/>
      <c r="H459" s="11"/>
      <c r="I459" s="11" t="s">
        <v>1613</v>
      </c>
      <c r="J459" s="851" t="s">
        <v>2783</v>
      </c>
      <c r="K459" s="6" t="s">
        <v>2783</v>
      </c>
      <c r="L459" s="851">
        <v>3519.1361265396722</v>
      </c>
      <c r="M459" s="833" t="s">
        <v>2810</v>
      </c>
      <c r="N459" s="833" t="s">
        <v>2810</v>
      </c>
      <c r="O459" s="834"/>
      <c r="P459" s="835"/>
      <c r="Q459" s="6"/>
      <c r="R459" s="6"/>
      <c r="S459" s="6"/>
      <c r="T459" s="6"/>
      <c r="U459" s="831"/>
      <c r="V459" s="836"/>
    </row>
    <row r="460" spans="2:22" s="829" customFormat="1" ht="180" outlineLevel="1">
      <c r="B460" s="830" t="s">
        <v>2809</v>
      </c>
      <c r="C460" s="830"/>
      <c r="D460" s="830" t="s">
        <v>3172</v>
      </c>
      <c r="E460" s="851" t="s">
        <v>3173</v>
      </c>
      <c r="F460" s="852"/>
      <c r="G460" s="852"/>
      <c r="H460" s="11"/>
      <c r="I460" s="11" t="s">
        <v>1613</v>
      </c>
      <c r="J460" s="851" t="s">
        <v>2783</v>
      </c>
      <c r="K460" s="6" t="s">
        <v>2783</v>
      </c>
      <c r="L460" s="851">
        <v>2359.574031204761</v>
      </c>
      <c r="M460" s="833" t="s">
        <v>2810</v>
      </c>
      <c r="N460" s="833" t="s">
        <v>2810</v>
      </c>
      <c r="O460" s="834"/>
      <c r="P460" s="835"/>
      <c r="Q460" s="6"/>
      <c r="R460" s="6"/>
      <c r="S460" s="6"/>
      <c r="T460" s="6"/>
      <c r="U460" s="831"/>
      <c r="V460" s="836"/>
    </row>
    <row r="461" spans="2:22" s="829" customFormat="1" ht="180" outlineLevel="1">
      <c r="B461" s="830" t="s">
        <v>2809</v>
      </c>
      <c r="C461" s="830"/>
      <c r="D461" s="830" t="s">
        <v>3172</v>
      </c>
      <c r="E461" s="851" t="s">
        <v>3173</v>
      </c>
      <c r="F461" s="852"/>
      <c r="G461" s="852"/>
      <c r="H461" s="11"/>
      <c r="I461" s="11" t="s">
        <v>1613</v>
      </c>
      <c r="J461" s="851" t="s">
        <v>2783</v>
      </c>
      <c r="K461" s="6" t="s">
        <v>2783</v>
      </c>
      <c r="L461" s="851">
        <v>2359.574031204761</v>
      </c>
      <c r="M461" s="833" t="s">
        <v>2810</v>
      </c>
      <c r="N461" s="833" t="s">
        <v>2810</v>
      </c>
      <c r="O461" s="834"/>
      <c r="P461" s="835"/>
      <c r="Q461" s="6"/>
      <c r="R461" s="6"/>
      <c r="S461" s="6"/>
      <c r="T461" s="6"/>
      <c r="U461" s="831"/>
      <c r="V461" s="836"/>
    </row>
    <row r="462" spans="2:22" s="829" customFormat="1" ht="180" outlineLevel="1">
      <c r="B462" s="830" t="s">
        <v>2809</v>
      </c>
      <c r="C462" s="830"/>
      <c r="D462" s="830" t="s">
        <v>3172</v>
      </c>
      <c r="E462" s="851" t="s">
        <v>3173</v>
      </c>
      <c r="F462" s="852"/>
      <c r="G462" s="852"/>
      <c r="H462" s="11"/>
      <c r="I462" s="11" t="s">
        <v>1613</v>
      </c>
      <c r="J462" s="851" t="s">
        <v>2783</v>
      </c>
      <c r="K462" s="6" t="s">
        <v>2783</v>
      </c>
      <c r="L462" s="851">
        <v>3421.3823452469032</v>
      </c>
      <c r="M462" s="833" t="s">
        <v>2810</v>
      </c>
      <c r="N462" s="833" t="s">
        <v>2810</v>
      </c>
      <c r="O462" s="834"/>
      <c r="P462" s="835"/>
      <c r="Q462" s="6"/>
      <c r="R462" s="6"/>
      <c r="S462" s="6"/>
      <c r="T462" s="6"/>
      <c r="U462" s="831"/>
      <c r="V462" s="836"/>
    </row>
    <row r="463" spans="2:22" s="829" customFormat="1" ht="180" outlineLevel="1">
      <c r="B463" s="830" t="s">
        <v>2809</v>
      </c>
      <c r="C463" s="830"/>
      <c r="D463" s="830" t="s">
        <v>3172</v>
      </c>
      <c r="E463" s="851" t="s">
        <v>3173</v>
      </c>
      <c r="F463" s="852"/>
      <c r="G463" s="852"/>
      <c r="H463" s="11"/>
      <c r="I463" s="11" t="s">
        <v>1613</v>
      </c>
      <c r="J463" s="851" t="s">
        <v>2783</v>
      </c>
      <c r="K463" s="6" t="s">
        <v>2783</v>
      </c>
      <c r="L463" s="851" t="s">
        <v>1489</v>
      </c>
      <c r="M463" s="833" t="s">
        <v>2810</v>
      </c>
      <c r="N463" s="833" t="s">
        <v>2810</v>
      </c>
      <c r="O463" s="834"/>
      <c r="P463" s="835"/>
      <c r="Q463" s="6"/>
      <c r="R463" s="6"/>
      <c r="S463" s="6"/>
      <c r="T463" s="6"/>
      <c r="U463" s="831"/>
      <c r="V463" s="836"/>
    </row>
    <row r="464" spans="2:22" s="829" customFormat="1" ht="180" outlineLevel="1">
      <c r="B464" s="830" t="s">
        <v>2809</v>
      </c>
      <c r="C464" s="830"/>
      <c r="D464" s="830" t="s">
        <v>3172</v>
      </c>
      <c r="E464" s="851" t="s">
        <v>3173</v>
      </c>
      <c r="F464" s="852"/>
      <c r="G464" s="852"/>
      <c r="H464" s="11"/>
      <c r="I464" s="11" t="s">
        <v>1613</v>
      </c>
      <c r="J464" s="851" t="s">
        <v>2783</v>
      </c>
      <c r="K464" s="6" t="s">
        <v>2783</v>
      </c>
      <c r="L464" s="851">
        <v>5498.6501977182379</v>
      </c>
      <c r="M464" s="833" t="s">
        <v>2810</v>
      </c>
      <c r="N464" s="833" t="s">
        <v>2810</v>
      </c>
      <c r="O464" s="834"/>
      <c r="P464" s="835"/>
      <c r="Q464" s="6"/>
      <c r="R464" s="6"/>
      <c r="S464" s="6"/>
      <c r="T464" s="6"/>
      <c r="U464" s="831"/>
      <c r="V464" s="836"/>
    </row>
    <row r="465" spans="2:22" s="829" customFormat="1" ht="180" outlineLevel="1">
      <c r="B465" s="830" t="s">
        <v>2809</v>
      </c>
      <c r="C465" s="830"/>
      <c r="D465" s="830" t="s">
        <v>3172</v>
      </c>
      <c r="E465" s="851" t="s">
        <v>3173</v>
      </c>
      <c r="F465" s="852"/>
      <c r="G465" s="852"/>
      <c r="H465" s="11"/>
      <c r="I465" s="11" t="s">
        <v>1613</v>
      </c>
      <c r="J465" s="851" t="s">
        <v>2783</v>
      </c>
      <c r="K465" s="6" t="s">
        <v>2783</v>
      </c>
      <c r="L465" s="851">
        <v>4907.1619294377888</v>
      </c>
      <c r="M465" s="833" t="s">
        <v>2810</v>
      </c>
      <c r="N465" s="833" t="s">
        <v>2810</v>
      </c>
      <c r="O465" s="834"/>
      <c r="P465" s="835"/>
      <c r="Q465" s="6"/>
      <c r="R465" s="6"/>
      <c r="S465" s="6"/>
      <c r="T465" s="6"/>
      <c r="U465" s="831"/>
      <c r="V465" s="836"/>
    </row>
    <row r="466" spans="2:22" s="829" customFormat="1" ht="180" outlineLevel="1">
      <c r="B466" s="830" t="s">
        <v>2809</v>
      </c>
      <c r="C466" s="830"/>
      <c r="D466" s="830" t="s">
        <v>3172</v>
      </c>
      <c r="E466" s="851" t="s">
        <v>3173</v>
      </c>
      <c r="F466" s="852"/>
      <c r="G466" s="852"/>
      <c r="H466" s="11"/>
      <c r="I466" s="11" t="s">
        <v>1613</v>
      </c>
      <c r="J466" s="851" t="s">
        <v>2783</v>
      </c>
      <c r="K466" s="6" t="s">
        <v>2783</v>
      </c>
      <c r="L466" s="851">
        <v>5151.1518580854863</v>
      </c>
      <c r="M466" s="833" t="s">
        <v>2810</v>
      </c>
      <c r="N466" s="833" t="s">
        <v>2810</v>
      </c>
      <c r="O466" s="834"/>
      <c r="P466" s="835"/>
      <c r="Q466" s="6"/>
      <c r="R466" s="6"/>
      <c r="S466" s="6"/>
      <c r="T466" s="6"/>
      <c r="U466" s="831"/>
      <c r="V466" s="836"/>
    </row>
    <row r="467" spans="2:22" s="829" customFormat="1" ht="180" outlineLevel="1">
      <c r="B467" s="830" t="s">
        <v>2809</v>
      </c>
      <c r="C467" s="830"/>
      <c r="D467" s="830" t="s">
        <v>3172</v>
      </c>
      <c r="E467" s="851" t="s">
        <v>3173</v>
      </c>
      <c r="F467" s="852"/>
      <c r="G467" s="852"/>
      <c r="H467" s="11"/>
      <c r="I467" s="11" t="s">
        <v>1613</v>
      </c>
      <c r="J467" s="851" t="s">
        <v>2783</v>
      </c>
      <c r="K467" s="6" t="s">
        <v>2783</v>
      </c>
      <c r="L467" s="851">
        <v>2697.1481261800404</v>
      </c>
      <c r="M467" s="833" t="s">
        <v>2810</v>
      </c>
      <c r="N467" s="833" t="s">
        <v>2810</v>
      </c>
      <c r="O467" s="834"/>
      <c r="P467" s="835"/>
      <c r="Q467" s="6"/>
      <c r="R467" s="6"/>
      <c r="S467" s="6"/>
      <c r="T467" s="6"/>
      <c r="U467" s="831"/>
      <c r="V467" s="836"/>
    </row>
    <row r="468" spans="2:22" s="829" customFormat="1" ht="180" outlineLevel="1">
      <c r="B468" s="830" t="s">
        <v>2809</v>
      </c>
      <c r="C468" s="830"/>
      <c r="D468" s="830" t="s">
        <v>3172</v>
      </c>
      <c r="E468" s="851" t="s">
        <v>3173</v>
      </c>
      <c r="F468" s="852"/>
      <c r="G468" s="852"/>
      <c r="H468" s="11"/>
      <c r="I468" s="11" t="s">
        <v>1613</v>
      </c>
      <c r="J468" s="851" t="s">
        <v>2783</v>
      </c>
      <c r="K468" s="6" t="s">
        <v>2783</v>
      </c>
      <c r="L468" s="851">
        <v>2697.1481261800404</v>
      </c>
      <c r="M468" s="833" t="s">
        <v>2810</v>
      </c>
      <c r="N468" s="833" t="s">
        <v>2810</v>
      </c>
      <c r="O468" s="834"/>
      <c r="P468" s="835"/>
      <c r="Q468" s="6"/>
      <c r="R468" s="6"/>
      <c r="S468" s="6"/>
      <c r="T468" s="6"/>
      <c r="U468" s="831"/>
      <c r="V468" s="836"/>
    </row>
    <row r="469" spans="2:22" s="829" customFormat="1" ht="180" outlineLevel="1">
      <c r="B469" s="830" t="s">
        <v>2809</v>
      </c>
      <c r="C469" s="830"/>
      <c r="D469" s="830" t="s">
        <v>3172</v>
      </c>
      <c r="E469" s="851" t="s">
        <v>3173</v>
      </c>
      <c r="F469" s="852"/>
      <c r="G469" s="852"/>
      <c r="H469" s="11"/>
      <c r="I469" s="11" t="s">
        <v>1613</v>
      </c>
      <c r="J469" s="851" t="s">
        <v>2783</v>
      </c>
      <c r="K469" s="6" t="s">
        <v>2783</v>
      </c>
      <c r="L469" s="851">
        <v>2845.9459459459458</v>
      </c>
      <c r="M469" s="833" t="s">
        <v>2810</v>
      </c>
      <c r="N469" s="833" t="s">
        <v>2810</v>
      </c>
      <c r="O469" s="834"/>
      <c r="P469" s="835"/>
      <c r="Q469" s="6"/>
      <c r="R469" s="6"/>
      <c r="S469" s="6"/>
      <c r="T469" s="6"/>
      <c r="U469" s="831"/>
      <c r="V469" s="836"/>
    </row>
    <row r="470" spans="2:22" s="829" customFormat="1" ht="180" outlineLevel="1">
      <c r="B470" s="830" t="s">
        <v>2809</v>
      </c>
      <c r="C470" s="830"/>
      <c r="D470" s="830" t="s">
        <v>3172</v>
      </c>
      <c r="E470" s="851" t="s">
        <v>3173</v>
      </c>
      <c r="F470" s="852"/>
      <c r="G470" s="852"/>
      <c r="H470" s="11"/>
      <c r="I470" s="11" t="s">
        <v>1613</v>
      </c>
      <c r="J470" s="851" t="s">
        <v>2783</v>
      </c>
      <c r="K470" s="6" t="s">
        <v>2783</v>
      </c>
      <c r="L470" s="851">
        <v>3743.4268660776638</v>
      </c>
      <c r="M470" s="833" t="s">
        <v>2810</v>
      </c>
      <c r="N470" s="833" t="s">
        <v>2810</v>
      </c>
      <c r="O470" s="834"/>
      <c r="P470" s="835"/>
      <c r="Q470" s="6"/>
      <c r="R470" s="6"/>
      <c r="S470" s="6"/>
      <c r="T470" s="6"/>
      <c r="U470" s="831"/>
      <c r="V470" s="836"/>
    </row>
    <row r="471" spans="2:22" s="829" customFormat="1" ht="180" outlineLevel="1">
      <c r="B471" s="830" t="s">
        <v>2809</v>
      </c>
      <c r="C471" s="830"/>
      <c r="D471" s="830" t="s">
        <v>3172</v>
      </c>
      <c r="E471" s="851" t="s">
        <v>3173</v>
      </c>
      <c r="F471" s="852"/>
      <c r="G471" s="852"/>
      <c r="H471" s="11"/>
      <c r="I471" s="11" t="s">
        <v>1613</v>
      </c>
      <c r="J471" s="851" t="s">
        <v>2783</v>
      </c>
      <c r="K471" s="6" t="s">
        <v>2783</v>
      </c>
      <c r="L471" s="851">
        <v>3769.1880832205643</v>
      </c>
      <c r="M471" s="833" t="s">
        <v>2810</v>
      </c>
      <c r="N471" s="833" t="s">
        <v>2810</v>
      </c>
      <c r="O471" s="834"/>
      <c r="P471" s="835"/>
      <c r="Q471" s="6"/>
      <c r="R471" s="6"/>
      <c r="S471" s="6"/>
      <c r="T471" s="6"/>
      <c r="U471" s="831"/>
      <c r="V471" s="836"/>
    </row>
    <row r="472" spans="2:22" s="829" customFormat="1" ht="180" outlineLevel="1">
      <c r="B472" s="830" t="s">
        <v>2809</v>
      </c>
      <c r="C472" s="830"/>
      <c r="D472" s="830" t="s">
        <v>3172</v>
      </c>
      <c r="E472" s="851" t="s">
        <v>3173</v>
      </c>
      <c r="F472" s="852"/>
      <c r="G472" s="852"/>
      <c r="H472" s="11"/>
      <c r="I472" s="11" t="s">
        <v>1613</v>
      </c>
      <c r="J472" s="851" t="s">
        <v>2783</v>
      </c>
      <c r="K472" s="6" t="s">
        <v>2783</v>
      </c>
      <c r="L472" s="851">
        <v>3157.9683940496625</v>
      </c>
      <c r="M472" s="833" t="s">
        <v>2810</v>
      </c>
      <c r="N472" s="833" t="s">
        <v>2810</v>
      </c>
      <c r="O472" s="834"/>
      <c r="P472" s="835"/>
      <c r="Q472" s="6"/>
      <c r="R472" s="6"/>
      <c r="S472" s="6"/>
      <c r="T472" s="6"/>
      <c r="U472" s="831"/>
      <c r="V472" s="836"/>
    </row>
    <row r="473" spans="2:22" s="829" customFormat="1" ht="180" outlineLevel="1">
      <c r="B473" s="830" t="s">
        <v>2809</v>
      </c>
      <c r="C473" s="830"/>
      <c r="D473" s="830" t="s">
        <v>3172</v>
      </c>
      <c r="E473" s="851" t="s">
        <v>3173</v>
      </c>
      <c r="F473" s="852"/>
      <c r="G473" s="852"/>
      <c r="H473" s="11"/>
      <c r="I473" s="11" t="s">
        <v>1613</v>
      </c>
      <c r="J473" s="851" t="s">
        <v>2783</v>
      </c>
      <c r="K473" s="6" t="s">
        <v>2783</v>
      </c>
      <c r="L473" s="851">
        <v>3692.4279326493597</v>
      </c>
      <c r="M473" s="833" t="s">
        <v>2810</v>
      </c>
      <c r="N473" s="833" t="s">
        <v>2810</v>
      </c>
      <c r="O473" s="834"/>
      <c r="P473" s="835"/>
      <c r="Q473" s="6"/>
      <c r="R473" s="6"/>
      <c r="S473" s="6"/>
      <c r="T473" s="6"/>
      <c r="U473" s="831"/>
      <c r="V473" s="836"/>
    </row>
    <row r="474" spans="2:22" s="829" customFormat="1" ht="180" outlineLevel="1">
      <c r="B474" s="830" t="s">
        <v>2809</v>
      </c>
      <c r="C474" s="830"/>
      <c r="D474" s="830" t="s">
        <v>3172</v>
      </c>
      <c r="E474" s="851" t="s">
        <v>3173</v>
      </c>
      <c r="F474" s="852"/>
      <c r="G474" s="852"/>
      <c r="H474" s="11"/>
      <c r="I474" s="11" t="s">
        <v>1613</v>
      </c>
      <c r="J474" s="851" t="s">
        <v>2783</v>
      </c>
      <c r="K474" s="6" t="s">
        <v>2783</v>
      </c>
      <c r="L474" s="851">
        <v>3152.2885947797886</v>
      </c>
      <c r="M474" s="833" t="s">
        <v>2810</v>
      </c>
      <c r="N474" s="833" t="s">
        <v>2810</v>
      </c>
      <c r="O474" s="834"/>
      <c r="P474" s="835"/>
      <c r="Q474" s="6"/>
      <c r="R474" s="6"/>
      <c r="S474" s="6"/>
      <c r="T474" s="6"/>
      <c r="U474" s="831"/>
      <c r="V474" s="836"/>
    </row>
    <row r="475" spans="2:22" s="829" customFormat="1" ht="180" outlineLevel="1">
      <c r="B475" s="830" t="s">
        <v>2809</v>
      </c>
      <c r="C475" s="830"/>
      <c r="D475" s="830" t="s">
        <v>3172</v>
      </c>
      <c r="E475" s="851" t="s">
        <v>3173</v>
      </c>
      <c r="F475" s="852"/>
      <c r="G475" s="852"/>
      <c r="H475" s="11"/>
      <c r="I475" s="11" t="s">
        <v>1613</v>
      </c>
      <c r="J475" s="851" t="s">
        <v>2783</v>
      </c>
      <c r="K475" s="6" t="s">
        <v>2783</v>
      </c>
      <c r="L475" s="851">
        <v>2324.4992820922585</v>
      </c>
      <c r="M475" s="833" t="s">
        <v>2810</v>
      </c>
      <c r="N475" s="833" t="s">
        <v>2810</v>
      </c>
      <c r="O475" s="834"/>
      <c r="P475" s="835"/>
      <c r="Q475" s="6"/>
      <c r="R475" s="6"/>
      <c r="S475" s="6"/>
      <c r="T475" s="6"/>
      <c r="U475" s="831"/>
      <c r="V475" s="836"/>
    </row>
    <row r="476" spans="2:22" s="829" customFormat="1" ht="180" outlineLevel="1">
      <c r="B476" s="830" t="s">
        <v>2809</v>
      </c>
      <c r="C476" s="830"/>
      <c r="D476" s="830" t="s">
        <v>3172</v>
      </c>
      <c r="E476" s="851" t="s">
        <v>3173</v>
      </c>
      <c r="F476" s="852"/>
      <c r="G476" s="852"/>
      <c r="H476" s="11"/>
      <c r="I476" s="11" t="s">
        <v>1613</v>
      </c>
      <c r="J476" s="851" t="s">
        <v>2783</v>
      </c>
      <c r="K476" s="6" t="s">
        <v>2783</v>
      </c>
      <c r="L476" s="851">
        <v>2787.9642624106523</v>
      </c>
      <c r="M476" s="833" t="s">
        <v>2810</v>
      </c>
      <c r="N476" s="833" t="s">
        <v>2810</v>
      </c>
      <c r="O476" s="834"/>
      <c r="P476" s="835"/>
      <c r="Q476" s="6"/>
      <c r="R476" s="6"/>
      <c r="S476" s="6"/>
      <c r="T476" s="6"/>
      <c r="U476" s="831"/>
      <c r="V476" s="836"/>
    </row>
    <row r="477" spans="2:22" s="829" customFormat="1" ht="25.5" outlineLevel="1">
      <c r="B477" s="830" t="s">
        <v>2809</v>
      </c>
      <c r="C477" s="830"/>
      <c r="D477" s="830" t="s">
        <v>3172</v>
      </c>
      <c r="E477" s="851"/>
      <c r="F477" s="852"/>
      <c r="G477" s="852"/>
      <c r="H477" s="11"/>
      <c r="I477" s="11" t="s">
        <v>1613</v>
      </c>
      <c r="J477" s="851" t="s">
        <v>2783</v>
      </c>
      <c r="K477" s="6" t="s">
        <v>2783</v>
      </c>
      <c r="L477" s="851">
        <v>3692.6678972326513</v>
      </c>
      <c r="M477" s="833" t="s">
        <v>2810</v>
      </c>
      <c r="N477" s="833" t="s">
        <v>2810</v>
      </c>
      <c r="O477" s="834"/>
      <c r="P477" s="835"/>
      <c r="Q477" s="6"/>
      <c r="R477" s="6"/>
      <c r="S477" s="6"/>
      <c r="T477" s="6"/>
      <c r="U477" s="831"/>
      <c r="V477" s="836"/>
    </row>
    <row r="478" spans="2:22" s="829" customFormat="1" ht="25.5" outlineLevel="1">
      <c r="B478" s="830" t="s">
        <v>2809</v>
      </c>
      <c r="C478" s="830"/>
      <c r="D478" s="830" t="s">
        <v>3172</v>
      </c>
      <c r="E478" s="851"/>
      <c r="F478" s="852"/>
      <c r="G478" s="852"/>
      <c r="H478" s="11"/>
      <c r="I478" s="11" t="s">
        <v>1613</v>
      </c>
      <c r="J478" s="851" t="s">
        <v>2783</v>
      </c>
      <c r="K478" s="6" t="s">
        <v>2783</v>
      </c>
      <c r="L478" s="851">
        <v>3692.6678972326513</v>
      </c>
      <c r="M478" s="833" t="s">
        <v>2810</v>
      </c>
      <c r="N478" s="833" t="s">
        <v>2810</v>
      </c>
      <c r="O478" s="834"/>
      <c r="P478" s="835"/>
      <c r="Q478" s="6"/>
      <c r="R478" s="6"/>
      <c r="S478" s="6"/>
      <c r="T478" s="6"/>
      <c r="U478" s="831"/>
      <c r="V478" s="836"/>
    </row>
    <row r="479" spans="2:22" s="829" customFormat="1" ht="25.5" outlineLevel="1">
      <c r="B479" s="830" t="s">
        <v>2809</v>
      </c>
      <c r="C479" s="830"/>
      <c r="D479" s="830" t="s">
        <v>3172</v>
      </c>
      <c r="E479" s="851"/>
      <c r="F479" s="852"/>
      <c r="G479" s="852"/>
      <c r="H479" s="11"/>
      <c r="I479" s="11" t="s">
        <v>1613</v>
      </c>
      <c r="J479" s="851" t="s">
        <v>2783</v>
      </c>
      <c r="K479" s="6" t="s">
        <v>2783</v>
      </c>
      <c r="L479" s="851">
        <v>3186.2448713264598</v>
      </c>
      <c r="M479" s="833" t="s">
        <v>2810</v>
      </c>
      <c r="N479" s="833" t="s">
        <v>2810</v>
      </c>
      <c r="O479" s="834"/>
      <c r="P479" s="835"/>
      <c r="Q479" s="6"/>
      <c r="R479" s="6"/>
      <c r="S479" s="6"/>
      <c r="T479" s="6"/>
      <c r="U479" s="831"/>
      <c r="V479" s="836"/>
    </row>
    <row r="480" spans="2:22" s="829" customFormat="1" ht="25.5" outlineLevel="1">
      <c r="B480" s="830" t="s">
        <v>2809</v>
      </c>
      <c r="C480" s="830"/>
      <c r="D480" s="830" t="s">
        <v>3172</v>
      </c>
      <c r="E480" s="851"/>
      <c r="F480" s="852"/>
      <c r="G480" s="852"/>
      <c r="H480" s="11"/>
      <c r="I480" s="11" t="s">
        <v>1613</v>
      </c>
      <c r="J480" s="851" t="s">
        <v>2783</v>
      </c>
      <c r="K480" s="6" t="s">
        <v>2783</v>
      </c>
      <c r="L480" s="851">
        <v>4779.3673069896895</v>
      </c>
      <c r="M480" s="833" t="s">
        <v>2810</v>
      </c>
      <c r="N480" s="833" t="s">
        <v>2810</v>
      </c>
      <c r="O480" s="834"/>
      <c r="P480" s="835"/>
      <c r="Q480" s="6"/>
      <c r="R480" s="6"/>
      <c r="S480" s="6"/>
      <c r="T480" s="6"/>
      <c r="U480" s="831"/>
      <c r="V480" s="836"/>
    </row>
    <row r="481" spans="2:22" s="829" customFormat="1" ht="25.5" outlineLevel="1">
      <c r="B481" s="830" t="s">
        <v>2809</v>
      </c>
      <c r="C481" s="830"/>
      <c r="D481" s="830" t="s">
        <v>3172</v>
      </c>
      <c r="E481" s="851"/>
      <c r="F481" s="852"/>
      <c r="G481" s="852"/>
      <c r="H481" s="11"/>
      <c r="I481" s="11" t="s">
        <v>1613</v>
      </c>
      <c r="J481" s="851" t="s">
        <v>2783</v>
      </c>
      <c r="K481" s="6" t="s">
        <v>2783</v>
      </c>
      <c r="L481" s="851">
        <v>3801.7694487417994</v>
      </c>
      <c r="M481" s="833" t="s">
        <v>2810</v>
      </c>
      <c r="N481" s="833" t="s">
        <v>2810</v>
      </c>
      <c r="O481" s="834"/>
      <c r="P481" s="835"/>
      <c r="Q481" s="6"/>
      <c r="R481" s="6"/>
      <c r="S481" s="6"/>
      <c r="T481" s="6"/>
      <c r="U481" s="831"/>
      <c r="V481" s="836"/>
    </row>
    <row r="482" spans="2:22" s="829" customFormat="1" ht="25.5" outlineLevel="1">
      <c r="B482" s="830" t="s">
        <v>2809</v>
      </c>
      <c r="C482" s="830"/>
      <c r="D482" s="830" t="s">
        <v>3172</v>
      </c>
      <c r="E482" s="851"/>
      <c r="F482" s="852"/>
      <c r="G482" s="852"/>
      <c r="H482" s="11"/>
      <c r="I482" s="11" t="s">
        <v>1613</v>
      </c>
      <c r="J482" s="851" t="s">
        <v>2783</v>
      </c>
      <c r="K482" s="6" t="s">
        <v>2783</v>
      </c>
      <c r="L482" s="851">
        <v>3097.7380693451701</v>
      </c>
      <c r="M482" s="833" t="s">
        <v>2810</v>
      </c>
      <c r="N482" s="833" t="s">
        <v>2810</v>
      </c>
      <c r="O482" s="834"/>
      <c r="P482" s="835"/>
      <c r="Q482" s="6"/>
      <c r="R482" s="6"/>
      <c r="S482" s="6"/>
      <c r="T482" s="6"/>
      <c r="U482" s="831"/>
      <c r="V482" s="836"/>
    </row>
    <row r="483" spans="2:22" s="829" customFormat="1" ht="38.25">
      <c r="B483" s="830" t="s">
        <v>2779</v>
      </c>
      <c r="C483" s="830">
        <v>7.02</v>
      </c>
      <c r="D483" s="830" t="s">
        <v>2924</v>
      </c>
      <c r="E483" s="6" t="s">
        <v>2924</v>
      </c>
      <c r="F483" s="831" t="s">
        <v>3185</v>
      </c>
      <c r="G483" s="831" t="s">
        <v>3186</v>
      </c>
      <c r="H483" s="832" t="s">
        <v>299</v>
      </c>
      <c r="I483" s="6" t="s">
        <v>2924</v>
      </c>
      <c r="J483" s="6">
        <v>3900</v>
      </c>
      <c r="K483" s="6">
        <v>4261.6352999999999</v>
      </c>
      <c r="L483" s="6" t="s">
        <v>2924</v>
      </c>
      <c r="M483" s="833" t="s">
        <v>2968</v>
      </c>
      <c r="N483" s="833" t="s">
        <v>2968</v>
      </c>
      <c r="O483" s="834"/>
      <c r="P483" s="835"/>
      <c r="Q483" s="6"/>
      <c r="R483" s="6"/>
      <c r="S483" s="6"/>
      <c r="T483" s="6"/>
      <c r="U483" s="831" t="s">
        <v>3187</v>
      </c>
      <c r="V483" s="836"/>
    </row>
    <row r="484" spans="2:22" s="829" customFormat="1" ht="180">
      <c r="B484" s="830" t="s">
        <v>2779</v>
      </c>
      <c r="C484" s="830">
        <v>7.03</v>
      </c>
      <c r="D484" s="830" t="s">
        <v>522</v>
      </c>
      <c r="E484" s="851" t="s">
        <v>3173</v>
      </c>
      <c r="F484" s="831" t="s">
        <v>3188</v>
      </c>
      <c r="G484" s="831"/>
      <c r="H484" s="832" t="s">
        <v>299</v>
      </c>
      <c r="I484" s="6"/>
      <c r="J484" s="6">
        <v>1600</v>
      </c>
      <c r="K484" s="6">
        <v>1748.3632</v>
      </c>
      <c r="L484" s="12">
        <v>4174</v>
      </c>
      <c r="M484" s="833">
        <v>1.6087499999999999</v>
      </c>
      <c r="N484" s="833">
        <v>1.3873758038375552</v>
      </c>
      <c r="O484" s="834"/>
      <c r="P484" s="835" t="s">
        <v>2943</v>
      </c>
      <c r="Q484" s="6"/>
      <c r="R484" s="6"/>
      <c r="S484" s="6"/>
      <c r="T484" s="6"/>
      <c r="U484" s="831" t="s">
        <v>3189</v>
      </c>
      <c r="V484" s="836"/>
    </row>
    <row r="485" spans="2:22" s="829" customFormat="1" ht="180">
      <c r="B485" s="830" t="s">
        <v>2779</v>
      </c>
      <c r="C485" s="830">
        <v>7.04</v>
      </c>
      <c r="D485" s="830" t="s">
        <v>522</v>
      </c>
      <c r="E485" s="851" t="s">
        <v>3173</v>
      </c>
      <c r="F485" s="831" t="s">
        <v>3190</v>
      </c>
      <c r="G485" s="831"/>
      <c r="H485" s="832" t="s">
        <v>2807</v>
      </c>
      <c r="I485" s="7"/>
      <c r="J485" s="7">
        <v>27</v>
      </c>
      <c r="K485" s="6">
        <v>29.503629</v>
      </c>
      <c r="L485" s="7">
        <v>3.0818115265667205</v>
      </c>
      <c r="M485" s="833">
        <v>-0.88585883234938068</v>
      </c>
      <c r="N485" s="833">
        <v>-0.89554466243570507</v>
      </c>
      <c r="O485" s="834"/>
      <c r="P485" s="844"/>
      <c r="Q485" s="6"/>
      <c r="R485" s="6"/>
      <c r="S485" s="6"/>
      <c r="T485" s="6"/>
      <c r="U485" s="831" t="s">
        <v>3191</v>
      </c>
      <c r="V485" s="836"/>
    </row>
    <row r="486" spans="2:22" s="816" customFormat="1">
      <c r="B486" s="827"/>
      <c r="C486" s="827" t="s">
        <v>576</v>
      </c>
      <c r="D486" s="827"/>
      <c r="E486" s="827"/>
      <c r="F486" s="827"/>
      <c r="G486" s="827"/>
      <c r="H486" s="827"/>
      <c r="I486" s="827"/>
      <c r="J486" s="827"/>
      <c r="K486" s="827"/>
      <c r="L486" s="827"/>
      <c r="M486" s="827"/>
      <c r="N486" s="827"/>
      <c r="O486" s="847"/>
      <c r="P486" s="847"/>
      <c r="Q486" s="847"/>
      <c r="R486" s="847"/>
      <c r="S486" s="847"/>
      <c r="T486" s="847"/>
      <c r="U486" s="847"/>
      <c r="V486" s="847"/>
    </row>
    <row r="487" spans="2:22" s="829" customFormat="1" ht="180" outlineLevel="1">
      <c r="B487" s="830"/>
      <c r="C487" s="830"/>
      <c r="D487" s="830" t="s">
        <v>774</v>
      </c>
      <c r="E487" s="851" t="s">
        <v>3173</v>
      </c>
      <c r="F487" s="10"/>
      <c r="G487" s="852"/>
      <c r="H487" s="11"/>
      <c r="I487" s="832" t="s">
        <v>1838</v>
      </c>
      <c r="J487" s="851" t="s">
        <v>2783</v>
      </c>
      <c r="K487" s="6" t="s">
        <v>2783</v>
      </c>
      <c r="L487" s="851">
        <v>3.594287446947432</v>
      </c>
      <c r="M487" s="833" t="s">
        <v>2810</v>
      </c>
      <c r="N487" s="833" t="s">
        <v>2810</v>
      </c>
      <c r="O487" s="834"/>
      <c r="P487" s="835"/>
      <c r="Q487" s="6"/>
      <c r="R487" s="6"/>
      <c r="S487" s="6"/>
      <c r="T487" s="6"/>
      <c r="U487" s="831"/>
      <c r="V487" s="836"/>
    </row>
    <row r="488" spans="2:22" s="829" customFormat="1" ht="180" outlineLevel="1">
      <c r="B488" s="830"/>
      <c r="C488" s="830"/>
      <c r="D488" s="830" t="s">
        <v>774</v>
      </c>
      <c r="E488" s="851" t="s">
        <v>3173</v>
      </c>
      <c r="F488" s="10"/>
      <c r="G488" s="852"/>
      <c r="H488" s="11"/>
      <c r="I488" s="832" t="s">
        <v>1838</v>
      </c>
      <c r="J488" s="851" t="s">
        <v>2783</v>
      </c>
      <c r="K488" s="6" t="s">
        <v>2783</v>
      </c>
      <c r="L488" s="851">
        <v>3.6305227410650791</v>
      </c>
      <c r="M488" s="833" t="s">
        <v>2810</v>
      </c>
      <c r="N488" s="833" t="s">
        <v>2810</v>
      </c>
      <c r="O488" s="834"/>
      <c r="P488" s="835"/>
      <c r="Q488" s="6"/>
      <c r="R488" s="6"/>
      <c r="S488" s="6"/>
      <c r="T488" s="6"/>
      <c r="U488" s="831"/>
      <c r="V488" s="836"/>
    </row>
    <row r="489" spans="2:22" s="829" customFormat="1" ht="180" outlineLevel="1">
      <c r="B489" s="830"/>
      <c r="C489" s="830"/>
      <c r="D489" s="830" t="s">
        <v>774</v>
      </c>
      <c r="E489" s="851" t="s">
        <v>3173</v>
      </c>
      <c r="F489" s="10"/>
      <c r="G489" s="852"/>
      <c r="H489" s="11"/>
      <c r="I489" s="832" t="s">
        <v>1838</v>
      </c>
      <c r="J489" s="851" t="s">
        <v>2783</v>
      </c>
      <c r="K489" s="6" t="s">
        <v>2783</v>
      </c>
      <c r="L489" s="851">
        <v>4.1866452900846873</v>
      </c>
      <c r="M489" s="833" t="s">
        <v>2810</v>
      </c>
      <c r="N489" s="833" t="s">
        <v>2810</v>
      </c>
      <c r="O489" s="834"/>
      <c r="P489" s="835"/>
      <c r="Q489" s="6"/>
      <c r="R489" s="6"/>
      <c r="S489" s="6"/>
      <c r="T489" s="6"/>
      <c r="U489" s="831"/>
      <c r="V489" s="836"/>
    </row>
    <row r="490" spans="2:22" s="829" customFormat="1" ht="180" outlineLevel="1">
      <c r="B490" s="830"/>
      <c r="C490" s="830"/>
      <c r="D490" s="830" t="s">
        <v>774</v>
      </c>
      <c r="E490" s="851" t="s">
        <v>3173</v>
      </c>
      <c r="F490" s="10"/>
      <c r="G490" s="852"/>
      <c r="H490" s="11"/>
      <c r="I490" s="832" t="s">
        <v>1838</v>
      </c>
      <c r="J490" s="851" t="s">
        <v>2783</v>
      </c>
      <c r="K490" s="6" t="s">
        <v>2783</v>
      </c>
      <c r="L490" s="851">
        <v>4.7427678391042951</v>
      </c>
      <c r="M490" s="833" t="s">
        <v>2810</v>
      </c>
      <c r="N490" s="833" t="s">
        <v>2810</v>
      </c>
      <c r="O490" s="834"/>
      <c r="P490" s="835"/>
      <c r="Q490" s="6"/>
      <c r="R490" s="6"/>
      <c r="S490" s="6"/>
      <c r="T490" s="6"/>
      <c r="U490" s="831"/>
      <c r="V490" s="836"/>
    </row>
    <row r="491" spans="2:22" s="829" customFormat="1" ht="180" outlineLevel="1">
      <c r="B491" s="830"/>
      <c r="C491" s="830"/>
      <c r="D491" s="830" t="s">
        <v>774</v>
      </c>
      <c r="E491" s="851" t="s">
        <v>3173</v>
      </c>
      <c r="F491" s="10"/>
      <c r="G491" s="852"/>
      <c r="H491" s="11"/>
      <c r="I491" s="832" t="s">
        <v>1838</v>
      </c>
      <c r="J491" s="851" t="s">
        <v>2783</v>
      </c>
      <c r="K491" s="6" t="s">
        <v>2783</v>
      </c>
      <c r="L491" s="851">
        <v>4.7790031332219423</v>
      </c>
      <c r="M491" s="833" t="s">
        <v>2810</v>
      </c>
      <c r="N491" s="833" t="s">
        <v>2810</v>
      </c>
      <c r="O491" s="834"/>
      <c r="P491" s="835"/>
      <c r="Q491" s="6"/>
      <c r="R491" s="6"/>
      <c r="S491" s="6"/>
      <c r="T491" s="6"/>
      <c r="U491" s="831"/>
      <c r="V491" s="836"/>
    </row>
    <row r="492" spans="2:22" s="829" customFormat="1" ht="180" outlineLevel="1">
      <c r="B492" s="830"/>
      <c r="C492" s="830"/>
      <c r="D492" s="830" t="s">
        <v>774</v>
      </c>
      <c r="E492" s="851" t="s">
        <v>3173</v>
      </c>
      <c r="F492" s="10"/>
      <c r="G492" s="852"/>
      <c r="H492" s="11"/>
      <c r="I492" s="832" t="s">
        <v>1838</v>
      </c>
      <c r="J492" s="851" t="s">
        <v>2783</v>
      </c>
      <c r="K492" s="6" t="s">
        <v>2783</v>
      </c>
      <c r="L492" s="851">
        <v>5.1763560743984129</v>
      </c>
      <c r="M492" s="833" t="s">
        <v>2810</v>
      </c>
      <c r="N492" s="833" t="s">
        <v>2810</v>
      </c>
      <c r="O492" s="834"/>
      <c r="P492" s="835"/>
      <c r="Q492" s="6"/>
      <c r="R492" s="6"/>
      <c r="S492" s="6"/>
      <c r="T492" s="6"/>
      <c r="U492" s="831"/>
      <c r="V492" s="836"/>
    </row>
    <row r="493" spans="2:22" s="829" customFormat="1" ht="180" outlineLevel="1">
      <c r="B493" s="830"/>
      <c r="C493" s="830"/>
      <c r="D493" s="830" t="s">
        <v>774</v>
      </c>
      <c r="E493" s="851" t="s">
        <v>3173</v>
      </c>
      <c r="F493" s="10"/>
      <c r="G493" s="852"/>
      <c r="H493" s="11"/>
      <c r="I493" s="832" t="s">
        <v>1838</v>
      </c>
      <c r="J493" s="851" t="s">
        <v>2783</v>
      </c>
      <c r="K493" s="6" t="s">
        <v>2783</v>
      </c>
      <c r="L493" s="851">
        <v>5.5737090155748836</v>
      </c>
      <c r="M493" s="833" t="s">
        <v>2810</v>
      </c>
      <c r="N493" s="833" t="s">
        <v>2810</v>
      </c>
      <c r="O493" s="834"/>
      <c r="P493" s="835"/>
      <c r="Q493" s="6"/>
      <c r="R493" s="6"/>
      <c r="S493" s="6"/>
      <c r="T493" s="6"/>
      <c r="U493" s="831"/>
      <c r="V493" s="836"/>
    </row>
    <row r="494" spans="2:22" s="829" customFormat="1" ht="180" outlineLevel="1">
      <c r="B494" s="830"/>
      <c r="C494" s="830"/>
      <c r="D494" s="830" t="s">
        <v>774</v>
      </c>
      <c r="E494" s="851" t="s">
        <v>3173</v>
      </c>
      <c r="F494" s="10"/>
      <c r="G494" s="852"/>
      <c r="H494" s="11"/>
      <c r="I494" s="832" t="s">
        <v>1838</v>
      </c>
      <c r="J494" s="851" t="s">
        <v>2783</v>
      </c>
      <c r="K494" s="6" t="s">
        <v>2783</v>
      </c>
      <c r="L494" s="851">
        <v>5.9710619567513543</v>
      </c>
      <c r="M494" s="833" t="s">
        <v>2810</v>
      </c>
      <c r="N494" s="833" t="s">
        <v>2810</v>
      </c>
      <c r="O494" s="834"/>
      <c r="P494" s="835"/>
      <c r="Q494" s="6"/>
      <c r="R494" s="6"/>
      <c r="S494" s="6"/>
      <c r="T494" s="6"/>
      <c r="U494" s="831"/>
      <c r="V494" s="836"/>
    </row>
    <row r="495" spans="2:22" s="829" customFormat="1" ht="180" outlineLevel="1">
      <c r="B495" s="830"/>
      <c r="C495" s="830"/>
      <c r="D495" s="830" t="s">
        <v>774</v>
      </c>
      <c r="E495" s="851" t="s">
        <v>3173</v>
      </c>
      <c r="F495" s="10"/>
      <c r="G495" s="852"/>
      <c r="H495" s="11"/>
      <c r="I495" s="832" t="s">
        <v>1838</v>
      </c>
      <c r="J495" s="851" t="s">
        <v>2783</v>
      </c>
      <c r="K495" s="6" t="s">
        <v>2783</v>
      </c>
      <c r="L495" s="851">
        <v>6.7657678391042957</v>
      </c>
      <c r="M495" s="833" t="s">
        <v>2810</v>
      </c>
      <c r="N495" s="833" t="s">
        <v>2810</v>
      </c>
      <c r="O495" s="834"/>
      <c r="P495" s="835"/>
      <c r="Q495" s="6"/>
      <c r="R495" s="6"/>
      <c r="S495" s="6"/>
      <c r="T495" s="6"/>
      <c r="U495" s="831"/>
      <c r="V495" s="836"/>
    </row>
    <row r="496" spans="2:22" s="829" customFormat="1" ht="180" outlineLevel="1">
      <c r="B496" s="830"/>
      <c r="C496" s="830"/>
      <c r="D496" s="830" t="s">
        <v>774</v>
      </c>
      <c r="E496" s="851" t="s">
        <v>3173</v>
      </c>
      <c r="F496" s="10"/>
      <c r="G496" s="852"/>
      <c r="H496" s="11"/>
      <c r="I496" s="832" t="s">
        <v>1838</v>
      </c>
      <c r="J496" s="851" t="s">
        <v>2783</v>
      </c>
      <c r="K496" s="6" t="s">
        <v>2783</v>
      </c>
      <c r="L496" s="851">
        <v>7.5604737214572371</v>
      </c>
      <c r="M496" s="833" t="s">
        <v>2810</v>
      </c>
      <c r="N496" s="833" t="s">
        <v>2810</v>
      </c>
      <c r="O496" s="834"/>
      <c r="P496" s="835"/>
      <c r="Q496" s="6"/>
      <c r="R496" s="6"/>
      <c r="S496" s="6"/>
      <c r="T496" s="6"/>
      <c r="U496" s="831"/>
      <c r="V496" s="836"/>
    </row>
    <row r="497" spans="2:22" s="829" customFormat="1" ht="180" outlineLevel="1">
      <c r="B497" s="830"/>
      <c r="C497" s="830"/>
      <c r="D497" s="830" t="s">
        <v>774</v>
      </c>
      <c r="E497" s="851" t="s">
        <v>3173</v>
      </c>
      <c r="F497" s="10"/>
      <c r="G497" s="852"/>
      <c r="H497" s="11"/>
      <c r="I497" s="832" t="s">
        <v>1838</v>
      </c>
      <c r="J497" s="851" t="s">
        <v>2783</v>
      </c>
      <c r="K497" s="6" t="s">
        <v>2783</v>
      </c>
      <c r="L497" s="851">
        <v>7.9578266626337069</v>
      </c>
      <c r="M497" s="833" t="s">
        <v>2810</v>
      </c>
      <c r="N497" s="833" t="s">
        <v>2810</v>
      </c>
      <c r="O497" s="834"/>
      <c r="P497" s="835"/>
      <c r="Q497" s="6"/>
      <c r="R497" s="6"/>
      <c r="S497" s="6"/>
      <c r="T497" s="6"/>
      <c r="U497" s="831"/>
      <c r="V497" s="836"/>
    </row>
    <row r="498" spans="2:22" s="829" customFormat="1" ht="180" outlineLevel="1">
      <c r="B498" s="830"/>
      <c r="C498" s="830"/>
      <c r="D498" s="830" t="s">
        <v>774</v>
      </c>
      <c r="E498" s="851" t="s">
        <v>3173</v>
      </c>
      <c r="F498" s="10"/>
      <c r="G498" s="852"/>
      <c r="H498" s="11"/>
      <c r="I498" s="832">
        <v>0</v>
      </c>
      <c r="J498" s="851" t="s">
        <v>2783</v>
      </c>
      <c r="K498" s="6" t="s">
        <v>2783</v>
      </c>
      <c r="L498" s="851">
        <v>0</v>
      </c>
      <c r="M498" s="833" t="s">
        <v>2810</v>
      </c>
      <c r="N498" s="833" t="s">
        <v>2810</v>
      </c>
      <c r="O498" s="834"/>
      <c r="P498" s="835"/>
      <c r="Q498" s="6"/>
      <c r="R498" s="6"/>
      <c r="S498" s="6"/>
      <c r="T498" s="6"/>
      <c r="U498" s="831"/>
      <c r="V498" s="836"/>
    </row>
    <row r="499" spans="2:22" s="829" customFormat="1" ht="180" outlineLevel="1">
      <c r="B499" s="830"/>
      <c r="C499" s="830"/>
      <c r="D499" s="830" t="s">
        <v>774</v>
      </c>
      <c r="E499" s="851" t="s">
        <v>3173</v>
      </c>
      <c r="F499" s="10"/>
      <c r="G499" s="852"/>
      <c r="H499" s="11"/>
      <c r="I499" s="832" t="s">
        <v>1838</v>
      </c>
      <c r="J499" s="851" t="s">
        <v>2783</v>
      </c>
      <c r="K499" s="6" t="s">
        <v>2783</v>
      </c>
      <c r="L499" s="851">
        <v>3.594287446947432</v>
      </c>
      <c r="M499" s="833" t="s">
        <v>2810</v>
      </c>
      <c r="N499" s="833" t="s">
        <v>2810</v>
      </c>
      <c r="O499" s="834"/>
      <c r="P499" s="835"/>
      <c r="Q499" s="6"/>
      <c r="R499" s="6"/>
      <c r="S499" s="6"/>
      <c r="T499" s="6"/>
      <c r="U499" s="831"/>
      <c r="V499" s="836"/>
    </row>
    <row r="500" spans="2:22" s="829" customFormat="1" ht="180" outlineLevel="1">
      <c r="B500" s="830"/>
      <c r="C500" s="830"/>
      <c r="D500" s="830" t="s">
        <v>774</v>
      </c>
      <c r="E500" s="851" t="s">
        <v>3173</v>
      </c>
      <c r="F500" s="10"/>
      <c r="G500" s="852"/>
      <c r="H500" s="11"/>
      <c r="I500" s="832" t="s">
        <v>1838</v>
      </c>
      <c r="J500" s="851" t="s">
        <v>2783</v>
      </c>
      <c r="K500" s="6" t="s">
        <v>2783</v>
      </c>
      <c r="L500" s="851">
        <v>3.6305227410650791</v>
      </c>
      <c r="M500" s="833" t="s">
        <v>2810</v>
      </c>
      <c r="N500" s="833" t="s">
        <v>2810</v>
      </c>
      <c r="O500" s="834"/>
      <c r="P500" s="835"/>
      <c r="Q500" s="6"/>
      <c r="R500" s="6"/>
      <c r="S500" s="6"/>
      <c r="T500" s="6"/>
      <c r="U500" s="831"/>
      <c r="V500" s="836"/>
    </row>
    <row r="501" spans="2:22" s="829" customFormat="1" ht="180" outlineLevel="1">
      <c r="B501" s="830"/>
      <c r="C501" s="830"/>
      <c r="D501" s="830" t="s">
        <v>774</v>
      </c>
      <c r="E501" s="851" t="s">
        <v>3173</v>
      </c>
      <c r="F501" s="10"/>
      <c r="G501" s="852"/>
      <c r="H501" s="11"/>
      <c r="I501" s="832" t="s">
        <v>1838</v>
      </c>
      <c r="J501" s="851" t="s">
        <v>2783</v>
      </c>
      <c r="K501" s="6" t="s">
        <v>2783</v>
      </c>
      <c r="L501" s="851">
        <v>4.1866452900846873</v>
      </c>
      <c r="M501" s="833" t="s">
        <v>2810</v>
      </c>
      <c r="N501" s="833" t="s">
        <v>2810</v>
      </c>
      <c r="O501" s="834"/>
      <c r="P501" s="835"/>
      <c r="Q501" s="6"/>
      <c r="R501" s="6"/>
      <c r="S501" s="6"/>
      <c r="T501" s="6"/>
      <c r="U501" s="831"/>
      <c r="V501" s="836"/>
    </row>
    <row r="502" spans="2:22" s="829" customFormat="1" ht="180" outlineLevel="1">
      <c r="B502" s="830"/>
      <c r="C502" s="830"/>
      <c r="D502" s="830" t="s">
        <v>774</v>
      </c>
      <c r="E502" s="851" t="s">
        <v>3173</v>
      </c>
      <c r="F502" s="10"/>
      <c r="G502" s="852"/>
      <c r="H502" s="11"/>
      <c r="I502" s="832" t="s">
        <v>1838</v>
      </c>
      <c r="J502" s="851" t="s">
        <v>2783</v>
      </c>
      <c r="K502" s="6" t="s">
        <v>2783</v>
      </c>
      <c r="L502" s="851">
        <v>4.7427678391042951</v>
      </c>
      <c r="M502" s="833" t="s">
        <v>2810</v>
      </c>
      <c r="N502" s="833" t="s">
        <v>2810</v>
      </c>
      <c r="O502" s="834"/>
      <c r="P502" s="835"/>
      <c r="Q502" s="6"/>
      <c r="R502" s="6"/>
      <c r="S502" s="6"/>
      <c r="T502" s="6"/>
      <c r="U502" s="831"/>
      <c r="V502" s="836"/>
    </row>
    <row r="503" spans="2:22" s="829" customFormat="1" ht="180" outlineLevel="1">
      <c r="B503" s="830"/>
      <c r="C503" s="830"/>
      <c r="D503" s="830" t="s">
        <v>774</v>
      </c>
      <c r="E503" s="851" t="s">
        <v>3173</v>
      </c>
      <c r="F503" s="10"/>
      <c r="G503" s="852"/>
      <c r="H503" s="11"/>
      <c r="I503" s="832" t="s">
        <v>1838</v>
      </c>
      <c r="J503" s="851" t="s">
        <v>2783</v>
      </c>
      <c r="K503" s="6" t="s">
        <v>2783</v>
      </c>
      <c r="L503" s="851">
        <v>4.7790031332219423</v>
      </c>
      <c r="M503" s="833" t="s">
        <v>2810</v>
      </c>
      <c r="N503" s="833" t="s">
        <v>2810</v>
      </c>
      <c r="O503" s="834"/>
      <c r="P503" s="835"/>
      <c r="Q503" s="6"/>
      <c r="R503" s="6"/>
      <c r="S503" s="6"/>
      <c r="T503" s="6"/>
      <c r="U503" s="831"/>
      <c r="V503" s="836"/>
    </row>
    <row r="504" spans="2:22" s="829" customFormat="1" ht="180" outlineLevel="1">
      <c r="B504" s="830"/>
      <c r="C504" s="830"/>
      <c r="D504" s="830" t="s">
        <v>774</v>
      </c>
      <c r="E504" s="851" t="s">
        <v>3173</v>
      </c>
      <c r="F504" s="10"/>
      <c r="G504" s="852"/>
      <c r="H504" s="11"/>
      <c r="I504" s="832" t="s">
        <v>1838</v>
      </c>
      <c r="J504" s="851" t="s">
        <v>2783</v>
      </c>
      <c r="K504" s="6" t="s">
        <v>2783</v>
      </c>
      <c r="L504" s="851">
        <v>5.1763560743984129</v>
      </c>
      <c r="M504" s="833" t="s">
        <v>2810</v>
      </c>
      <c r="N504" s="833" t="s">
        <v>2810</v>
      </c>
      <c r="O504" s="834"/>
      <c r="P504" s="835"/>
      <c r="Q504" s="6"/>
      <c r="R504" s="6"/>
      <c r="S504" s="6"/>
      <c r="T504" s="6"/>
      <c r="U504" s="831"/>
      <c r="V504" s="836"/>
    </row>
    <row r="505" spans="2:22" s="829" customFormat="1" ht="180" outlineLevel="1">
      <c r="B505" s="830"/>
      <c r="C505" s="830"/>
      <c r="D505" s="830" t="s">
        <v>774</v>
      </c>
      <c r="E505" s="851" t="s">
        <v>3173</v>
      </c>
      <c r="F505" s="10"/>
      <c r="G505" s="852"/>
      <c r="H505" s="11"/>
      <c r="I505" s="832" t="s">
        <v>1838</v>
      </c>
      <c r="J505" s="851" t="s">
        <v>2783</v>
      </c>
      <c r="K505" s="6" t="s">
        <v>2783</v>
      </c>
      <c r="L505" s="851">
        <v>5.5737090155748836</v>
      </c>
      <c r="M505" s="833" t="s">
        <v>2810</v>
      </c>
      <c r="N505" s="833" t="s">
        <v>2810</v>
      </c>
      <c r="O505" s="834"/>
      <c r="P505" s="835"/>
      <c r="Q505" s="6"/>
      <c r="R505" s="6"/>
      <c r="S505" s="6"/>
      <c r="T505" s="6"/>
      <c r="U505" s="831"/>
      <c r="V505" s="836"/>
    </row>
    <row r="506" spans="2:22" s="829" customFormat="1" ht="180" outlineLevel="1">
      <c r="B506" s="830"/>
      <c r="C506" s="830"/>
      <c r="D506" s="830" t="s">
        <v>774</v>
      </c>
      <c r="E506" s="851" t="s">
        <v>3173</v>
      </c>
      <c r="F506" s="10"/>
      <c r="G506" s="852"/>
      <c r="H506" s="11"/>
      <c r="I506" s="832" t="s">
        <v>1838</v>
      </c>
      <c r="J506" s="851" t="s">
        <v>2783</v>
      </c>
      <c r="K506" s="6" t="s">
        <v>2783</v>
      </c>
      <c r="L506" s="851">
        <v>5.9710619567513543</v>
      </c>
      <c r="M506" s="833" t="s">
        <v>2810</v>
      </c>
      <c r="N506" s="833" t="s">
        <v>2810</v>
      </c>
      <c r="O506" s="834"/>
      <c r="P506" s="835"/>
      <c r="Q506" s="6"/>
      <c r="R506" s="6"/>
      <c r="S506" s="6"/>
      <c r="T506" s="6"/>
      <c r="U506" s="831"/>
      <c r="V506" s="836"/>
    </row>
    <row r="507" spans="2:22" s="829" customFormat="1" ht="180" outlineLevel="1">
      <c r="B507" s="830"/>
      <c r="C507" s="830"/>
      <c r="D507" s="830" t="s">
        <v>774</v>
      </c>
      <c r="E507" s="851" t="s">
        <v>3173</v>
      </c>
      <c r="F507" s="10"/>
      <c r="G507" s="852"/>
      <c r="H507" s="11"/>
      <c r="I507" s="832" t="s">
        <v>1838</v>
      </c>
      <c r="J507" s="851" t="s">
        <v>2783</v>
      </c>
      <c r="K507" s="6" t="s">
        <v>2783</v>
      </c>
      <c r="L507" s="851">
        <v>6.7657678391042957</v>
      </c>
      <c r="M507" s="833" t="s">
        <v>2810</v>
      </c>
      <c r="N507" s="833" t="s">
        <v>2810</v>
      </c>
      <c r="O507" s="834"/>
      <c r="P507" s="835"/>
      <c r="Q507" s="6"/>
      <c r="R507" s="6"/>
      <c r="S507" s="6"/>
      <c r="T507" s="6"/>
      <c r="U507" s="831"/>
      <c r="V507" s="836"/>
    </row>
    <row r="508" spans="2:22" s="829" customFormat="1" ht="180" outlineLevel="1">
      <c r="B508" s="830"/>
      <c r="C508" s="830"/>
      <c r="D508" s="830" t="s">
        <v>774</v>
      </c>
      <c r="E508" s="851" t="s">
        <v>3173</v>
      </c>
      <c r="F508" s="10"/>
      <c r="G508" s="852"/>
      <c r="H508" s="11"/>
      <c r="I508" s="832" t="s">
        <v>1838</v>
      </c>
      <c r="J508" s="851" t="s">
        <v>2783</v>
      </c>
      <c r="K508" s="6" t="s">
        <v>2783</v>
      </c>
      <c r="L508" s="851">
        <v>7.5604737214572371</v>
      </c>
      <c r="M508" s="833" t="s">
        <v>2810</v>
      </c>
      <c r="N508" s="833" t="s">
        <v>2810</v>
      </c>
      <c r="O508" s="834"/>
      <c r="P508" s="835"/>
      <c r="Q508" s="6"/>
      <c r="R508" s="6"/>
      <c r="S508" s="6"/>
      <c r="T508" s="6"/>
      <c r="U508" s="831"/>
      <c r="V508" s="836"/>
    </row>
    <row r="509" spans="2:22" s="829" customFormat="1" ht="180" outlineLevel="1">
      <c r="B509" s="830"/>
      <c r="C509" s="830"/>
      <c r="D509" s="830" t="s">
        <v>774</v>
      </c>
      <c r="E509" s="851" t="s">
        <v>3173</v>
      </c>
      <c r="F509" s="10"/>
      <c r="G509" s="852"/>
      <c r="H509" s="11"/>
      <c r="I509" s="832" t="s">
        <v>1838</v>
      </c>
      <c r="J509" s="851" t="s">
        <v>2783</v>
      </c>
      <c r="K509" s="6" t="s">
        <v>2783</v>
      </c>
      <c r="L509" s="851">
        <v>7.9578266626337069</v>
      </c>
      <c r="M509" s="833" t="s">
        <v>2810</v>
      </c>
      <c r="N509" s="833" t="s">
        <v>2810</v>
      </c>
      <c r="O509" s="834"/>
      <c r="P509" s="835"/>
      <c r="Q509" s="6"/>
      <c r="R509" s="6"/>
      <c r="S509" s="6"/>
      <c r="T509" s="6"/>
      <c r="U509" s="831"/>
      <c r="V509" s="836"/>
    </row>
    <row r="510" spans="2:22" s="829" customFormat="1" ht="180" outlineLevel="1">
      <c r="B510" s="830"/>
      <c r="C510" s="830"/>
      <c r="D510" s="830" t="s">
        <v>774</v>
      </c>
      <c r="E510" s="851" t="s">
        <v>3173</v>
      </c>
      <c r="F510" s="10"/>
      <c r="G510" s="852"/>
      <c r="H510" s="11"/>
      <c r="I510" s="832">
        <v>0</v>
      </c>
      <c r="J510" s="851" t="s">
        <v>2783</v>
      </c>
      <c r="K510" s="6" t="s">
        <v>2783</v>
      </c>
      <c r="L510" s="851">
        <v>0</v>
      </c>
      <c r="M510" s="833" t="s">
        <v>2810</v>
      </c>
      <c r="N510" s="833" t="s">
        <v>2810</v>
      </c>
      <c r="O510" s="834"/>
      <c r="P510" s="835"/>
      <c r="Q510" s="6"/>
      <c r="R510" s="6"/>
      <c r="S510" s="6"/>
      <c r="T510" s="6"/>
      <c r="U510" s="831"/>
      <c r="V510" s="836"/>
    </row>
    <row r="511" spans="2:22" s="829" customFormat="1" ht="180" outlineLevel="1">
      <c r="B511" s="830"/>
      <c r="C511" s="830"/>
      <c r="D511" s="830" t="s">
        <v>774</v>
      </c>
      <c r="E511" s="851" t="s">
        <v>3173</v>
      </c>
      <c r="F511" s="10"/>
      <c r="G511" s="852"/>
      <c r="H511" s="11"/>
      <c r="I511" s="832" t="s">
        <v>1838</v>
      </c>
      <c r="J511" s="851" t="s">
        <v>2783</v>
      </c>
      <c r="K511" s="6" t="s">
        <v>2783</v>
      </c>
      <c r="L511" s="851">
        <v>4.7785913685160599</v>
      </c>
      <c r="M511" s="833" t="s">
        <v>2810</v>
      </c>
      <c r="N511" s="833" t="s">
        <v>2810</v>
      </c>
      <c r="O511" s="834"/>
      <c r="P511" s="835"/>
      <c r="Q511" s="6"/>
      <c r="R511" s="6"/>
      <c r="S511" s="6"/>
      <c r="T511" s="6"/>
      <c r="U511" s="831"/>
      <c r="V511" s="836"/>
    </row>
    <row r="512" spans="2:22" s="829" customFormat="1" ht="180" outlineLevel="1">
      <c r="B512" s="830"/>
      <c r="C512" s="830"/>
      <c r="D512" s="830" t="s">
        <v>774</v>
      </c>
      <c r="E512" s="851" t="s">
        <v>3173</v>
      </c>
      <c r="F512" s="10"/>
      <c r="G512" s="852"/>
      <c r="H512" s="11"/>
      <c r="I512" s="832" t="s">
        <v>1838</v>
      </c>
      <c r="J512" s="851" t="s">
        <v>2783</v>
      </c>
      <c r="K512" s="6" t="s">
        <v>2783</v>
      </c>
      <c r="L512" s="851">
        <v>5.1759443096925306</v>
      </c>
      <c r="M512" s="833" t="s">
        <v>2810</v>
      </c>
      <c r="N512" s="833" t="s">
        <v>2810</v>
      </c>
      <c r="O512" s="834"/>
      <c r="P512" s="835"/>
      <c r="Q512" s="6"/>
      <c r="R512" s="6"/>
      <c r="S512" s="6"/>
      <c r="T512" s="6"/>
      <c r="U512" s="831"/>
      <c r="V512" s="836"/>
    </row>
    <row r="513" spans="2:22" s="829" customFormat="1" ht="180" outlineLevel="1">
      <c r="B513" s="830"/>
      <c r="C513" s="830"/>
      <c r="D513" s="830" t="s">
        <v>774</v>
      </c>
      <c r="E513" s="851" t="s">
        <v>3173</v>
      </c>
      <c r="F513" s="10"/>
      <c r="G513" s="852"/>
      <c r="H513" s="11"/>
      <c r="I513" s="832" t="s">
        <v>1838</v>
      </c>
      <c r="J513" s="851" t="s">
        <v>2783</v>
      </c>
      <c r="K513" s="6" t="s">
        <v>2783</v>
      </c>
      <c r="L513" s="851">
        <v>5.7855619567513541</v>
      </c>
      <c r="M513" s="833" t="s">
        <v>2810</v>
      </c>
      <c r="N513" s="833" t="s">
        <v>2810</v>
      </c>
      <c r="O513" s="834"/>
      <c r="P513" s="835"/>
      <c r="Q513" s="6"/>
      <c r="R513" s="6"/>
      <c r="S513" s="6"/>
      <c r="T513" s="6"/>
      <c r="U513" s="831"/>
      <c r="V513" s="836"/>
    </row>
    <row r="514" spans="2:22" s="829" customFormat="1" ht="180" outlineLevel="1">
      <c r="B514" s="830"/>
      <c r="C514" s="830"/>
      <c r="D514" s="830" t="s">
        <v>774</v>
      </c>
      <c r="E514" s="851" t="s">
        <v>3173</v>
      </c>
      <c r="F514" s="10"/>
      <c r="G514" s="852"/>
      <c r="H514" s="11"/>
      <c r="I514" s="832" t="s">
        <v>1838</v>
      </c>
      <c r="J514" s="851" t="s">
        <v>2783</v>
      </c>
      <c r="K514" s="6" t="s">
        <v>2783</v>
      </c>
      <c r="L514" s="851">
        <v>5.9978266626337069</v>
      </c>
      <c r="M514" s="833" t="s">
        <v>2810</v>
      </c>
      <c r="N514" s="833" t="s">
        <v>2810</v>
      </c>
      <c r="O514" s="834"/>
      <c r="P514" s="835"/>
      <c r="Q514" s="6"/>
      <c r="R514" s="6"/>
      <c r="S514" s="6"/>
      <c r="T514" s="6"/>
      <c r="U514" s="831"/>
      <c r="V514" s="836"/>
    </row>
    <row r="515" spans="2:22" s="829" customFormat="1" ht="180" outlineLevel="1">
      <c r="B515" s="830"/>
      <c r="C515" s="830"/>
      <c r="D515" s="830" t="s">
        <v>774</v>
      </c>
      <c r="E515" s="851" t="s">
        <v>3173</v>
      </c>
      <c r="F515" s="10"/>
      <c r="G515" s="852"/>
      <c r="H515" s="11"/>
      <c r="I515" s="832" t="s">
        <v>1838</v>
      </c>
      <c r="J515" s="851" t="s">
        <v>2783</v>
      </c>
      <c r="K515" s="6" t="s">
        <v>2783</v>
      </c>
      <c r="L515" s="851">
        <v>6.1704247018493934</v>
      </c>
      <c r="M515" s="833" t="s">
        <v>2810</v>
      </c>
      <c r="N515" s="833" t="s">
        <v>2810</v>
      </c>
      <c r="O515" s="834"/>
      <c r="P515" s="835"/>
      <c r="Q515" s="6"/>
      <c r="R515" s="6"/>
      <c r="S515" s="6"/>
      <c r="T515" s="6"/>
      <c r="U515" s="831"/>
      <c r="V515" s="836"/>
    </row>
    <row r="516" spans="2:22" s="829" customFormat="1" ht="180" outlineLevel="1">
      <c r="B516" s="830"/>
      <c r="C516" s="830"/>
      <c r="D516" s="830" t="s">
        <v>774</v>
      </c>
      <c r="E516" s="851" t="s">
        <v>3173</v>
      </c>
      <c r="F516" s="10"/>
      <c r="G516" s="852"/>
      <c r="H516" s="11"/>
      <c r="I516" s="832" t="s">
        <v>1838</v>
      </c>
      <c r="J516" s="851" t="s">
        <v>2783</v>
      </c>
      <c r="K516" s="6" t="s">
        <v>2783</v>
      </c>
      <c r="L516" s="851">
        <v>6.9215521528297863</v>
      </c>
      <c r="M516" s="833" t="s">
        <v>2810</v>
      </c>
      <c r="N516" s="833" t="s">
        <v>2810</v>
      </c>
      <c r="O516" s="834"/>
      <c r="P516" s="835"/>
      <c r="Q516" s="6"/>
      <c r="R516" s="6"/>
      <c r="S516" s="6"/>
      <c r="T516" s="6"/>
      <c r="U516" s="831"/>
      <c r="V516" s="836"/>
    </row>
    <row r="517" spans="2:22" s="829" customFormat="1" ht="180" outlineLevel="1">
      <c r="B517" s="830"/>
      <c r="C517" s="830"/>
      <c r="D517" s="830" t="s">
        <v>774</v>
      </c>
      <c r="E517" s="851" t="s">
        <v>3173</v>
      </c>
      <c r="F517" s="10"/>
      <c r="G517" s="852"/>
      <c r="H517" s="11"/>
      <c r="I517" s="832" t="s">
        <v>1838</v>
      </c>
      <c r="J517" s="851" t="s">
        <v>2783</v>
      </c>
      <c r="K517" s="6" t="s">
        <v>2783</v>
      </c>
      <c r="L517" s="851">
        <v>7.5000815645944918</v>
      </c>
      <c r="M517" s="833" t="s">
        <v>2810</v>
      </c>
      <c r="N517" s="833" t="s">
        <v>2810</v>
      </c>
      <c r="O517" s="834"/>
      <c r="P517" s="835"/>
      <c r="Q517" s="6"/>
      <c r="R517" s="6"/>
      <c r="S517" s="6"/>
      <c r="T517" s="6"/>
      <c r="U517" s="831"/>
      <c r="V517" s="836"/>
    </row>
    <row r="518" spans="2:22" s="829" customFormat="1" ht="180" outlineLevel="1">
      <c r="B518" s="830"/>
      <c r="C518" s="830"/>
      <c r="D518" s="830" t="s">
        <v>774</v>
      </c>
      <c r="E518" s="851" t="s">
        <v>3173</v>
      </c>
      <c r="F518" s="10"/>
      <c r="G518" s="852"/>
      <c r="H518" s="11"/>
      <c r="I518" s="832" t="s">
        <v>1838</v>
      </c>
      <c r="J518" s="851" t="s">
        <v>2783</v>
      </c>
      <c r="K518" s="6" t="s">
        <v>2783</v>
      </c>
      <c r="L518" s="851">
        <v>7.8974345057709616</v>
      </c>
      <c r="M518" s="833" t="s">
        <v>2810</v>
      </c>
      <c r="N518" s="833" t="s">
        <v>2810</v>
      </c>
      <c r="O518" s="834"/>
      <c r="P518" s="835"/>
      <c r="Q518" s="6"/>
      <c r="R518" s="6"/>
      <c r="S518" s="6"/>
      <c r="T518" s="6"/>
      <c r="U518" s="831"/>
      <c r="V518" s="836"/>
    </row>
    <row r="519" spans="2:22" s="829" customFormat="1" ht="180" outlineLevel="1">
      <c r="B519" s="830"/>
      <c r="C519" s="830"/>
      <c r="D519" s="830" t="s">
        <v>774</v>
      </c>
      <c r="E519" s="851" t="s">
        <v>3173</v>
      </c>
      <c r="F519" s="10"/>
      <c r="G519" s="852"/>
      <c r="H519" s="11"/>
      <c r="I519" s="832" t="s">
        <v>1838</v>
      </c>
      <c r="J519" s="851" t="s">
        <v>2783</v>
      </c>
      <c r="K519" s="6" t="s">
        <v>2783</v>
      </c>
      <c r="L519" s="851">
        <v>8.692140388123903</v>
      </c>
      <c r="M519" s="833" t="s">
        <v>2810</v>
      </c>
      <c r="N519" s="833" t="s">
        <v>2810</v>
      </c>
      <c r="O519" s="834"/>
      <c r="P519" s="835"/>
      <c r="Q519" s="6"/>
      <c r="R519" s="6"/>
      <c r="S519" s="6"/>
      <c r="T519" s="6"/>
      <c r="U519" s="831"/>
      <c r="V519" s="836"/>
    </row>
    <row r="520" spans="2:22" s="829" customFormat="1" ht="180" outlineLevel="1">
      <c r="B520" s="830"/>
      <c r="C520" s="830"/>
      <c r="D520" s="830" t="s">
        <v>774</v>
      </c>
      <c r="E520" s="851" t="s">
        <v>3173</v>
      </c>
      <c r="F520" s="10"/>
      <c r="G520" s="852"/>
      <c r="H520" s="11"/>
      <c r="I520" s="832" t="s">
        <v>1838</v>
      </c>
      <c r="J520" s="851" t="s">
        <v>2783</v>
      </c>
      <c r="K520" s="6" t="s">
        <v>2783</v>
      </c>
      <c r="L520" s="851">
        <v>9.4868462704768426</v>
      </c>
      <c r="M520" s="833" t="s">
        <v>2810</v>
      </c>
      <c r="N520" s="833" t="s">
        <v>2810</v>
      </c>
      <c r="O520" s="834"/>
      <c r="P520" s="835"/>
      <c r="Q520" s="6"/>
      <c r="R520" s="6"/>
      <c r="S520" s="6"/>
      <c r="T520" s="6"/>
      <c r="U520" s="831"/>
      <c r="V520" s="836"/>
    </row>
    <row r="521" spans="2:22" s="829" customFormat="1" ht="180" outlineLevel="1">
      <c r="B521" s="830"/>
      <c r="C521" s="830"/>
      <c r="D521" s="830" t="s">
        <v>774</v>
      </c>
      <c r="E521" s="851" t="s">
        <v>3173</v>
      </c>
      <c r="F521" s="10"/>
      <c r="G521" s="852"/>
      <c r="H521" s="11"/>
      <c r="I521" s="832" t="s">
        <v>1838</v>
      </c>
      <c r="J521" s="851" t="s">
        <v>2783</v>
      </c>
      <c r="K521" s="6" t="s">
        <v>2783</v>
      </c>
      <c r="L521" s="851">
        <v>9.8841992116533142</v>
      </c>
      <c r="M521" s="833" t="s">
        <v>2810</v>
      </c>
      <c r="N521" s="833" t="s">
        <v>2810</v>
      </c>
      <c r="O521" s="834"/>
      <c r="P521" s="835"/>
      <c r="Q521" s="6"/>
      <c r="R521" s="6"/>
      <c r="S521" s="6"/>
      <c r="T521" s="6"/>
      <c r="U521" s="831"/>
      <c r="V521" s="836"/>
    </row>
    <row r="522" spans="2:22" s="829" customFormat="1" ht="180" outlineLevel="1">
      <c r="B522" s="830"/>
      <c r="C522" s="830"/>
      <c r="D522" s="830" t="s">
        <v>774</v>
      </c>
      <c r="E522" s="851" t="s">
        <v>3173</v>
      </c>
      <c r="F522" s="10"/>
      <c r="G522" s="852"/>
      <c r="H522" s="11"/>
      <c r="I522" s="832" t="s">
        <v>1838</v>
      </c>
      <c r="J522" s="851" t="s">
        <v>2783</v>
      </c>
      <c r="K522" s="6" t="s">
        <v>2783</v>
      </c>
      <c r="L522" s="851">
        <v>3.6543070547905696</v>
      </c>
      <c r="M522" s="833" t="s">
        <v>2810</v>
      </c>
      <c r="N522" s="833" t="s">
        <v>2810</v>
      </c>
      <c r="O522" s="834"/>
      <c r="P522" s="835"/>
      <c r="Q522" s="6"/>
      <c r="R522" s="6"/>
      <c r="S522" s="6"/>
      <c r="T522" s="6"/>
      <c r="U522" s="831"/>
      <c r="V522" s="836"/>
    </row>
    <row r="523" spans="2:22" s="829" customFormat="1" ht="180" outlineLevel="1">
      <c r="B523" s="830"/>
      <c r="C523" s="830"/>
      <c r="D523" s="830" t="s">
        <v>774</v>
      </c>
      <c r="E523" s="851" t="s">
        <v>3173</v>
      </c>
      <c r="F523" s="10"/>
      <c r="G523" s="852"/>
      <c r="H523" s="11"/>
      <c r="I523" s="832" t="s">
        <v>1838</v>
      </c>
      <c r="J523" s="851" t="s">
        <v>2783</v>
      </c>
      <c r="K523" s="6" t="s">
        <v>2783</v>
      </c>
      <c r="L523" s="851">
        <v>3.6543070547905696</v>
      </c>
      <c r="M523" s="833" t="s">
        <v>2810</v>
      </c>
      <c r="N523" s="833" t="s">
        <v>2810</v>
      </c>
      <c r="O523" s="834"/>
      <c r="P523" s="835"/>
      <c r="Q523" s="6"/>
      <c r="R523" s="6"/>
      <c r="S523" s="6"/>
      <c r="T523" s="6"/>
      <c r="U523" s="831"/>
      <c r="V523" s="836"/>
    </row>
    <row r="524" spans="2:22" s="829" customFormat="1" ht="180" outlineLevel="1">
      <c r="B524" s="830"/>
      <c r="C524" s="830"/>
      <c r="D524" s="830" t="s">
        <v>774</v>
      </c>
      <c r="E524" s="851" t="s">
        <v>3173</v>
      </c>
      <c r="F524" s="10"/>
      <c r="G524" s="852"/>
      <c r="H524" s="11"/>
      <c r="I524" s="832" t="s">
        <v>1838</v>
      </c>
      <c r="J524" s="851" t="s">
        <v>2783</v>
      </c>
      <c r="K524" s="6" t="s">
        <v>2783</v>
      </c>
      <c r="L524" s="851">
        <v>4.0309443096925301</v>
      </c>
      <c r="M524" s="833" t="s">
        <v>2810</v>
      </c>
      <c r="N524" s="833" t="s">
        <v>2810</v>
      </c>
      <c r="O524" s="834"/>
      <c r="P524" s="835"/>
      <c r="Q524" s="6"/>
      <c r="R524" s="6"/>
      <c r="S524" s="6"/>
      <c r="T524" s="6"/>
      <c r="U524" s="831"/>
      <c r="V524" s="836"/>
    </row>
    <row r="525" spans="2:22" s="829" customFormat="1" ht="180" outlineLevel="1">
      <c r="B525" s="830"/>
      <c r="C525" s="830"/>
      <c r="D525" s="830" t="s">
        <v>774</v>
      </c>
      <c r="E525" s="851" t="s">
        <v>3173</v>
      </c>
      <c r="F525" s="10"/>
      <c r="G525" s="852"/>
      <c r="H525" s="11"/>
      <c r="I525" s="832" t="s">
        <v>1838</v>
      </c>
      <c r="J525" s="851" t="s">
        <v>2783</v>
      </c>
      <c r="K525" s="6" t="s">
        <v>2783</v>
      </c>
      <c r="L525" s="851">
        <v>4.4075815645944907</v>
      </c>
      <c r="M525" s="833" t="s">
        <v>2810</v>
      </c>
      <c r="N525" s="833" t="s">
        <v>2810</v>
      </c>
      <c r="O525" s="834"/>
      <c r="P525" s="835"/>
      <c r="Q525" s="6"/>
      <c r="R525" s="6"/>
      <c r="S525" s="6"/>
      <c r="T525" s="6"/>
      <c r="U525" s="831"/>
      <c r="V525" s="836"/>
    </row>
    <row r="526" spans="2:22" s="829" customFormat="1" ht="180" outlineLevel="1">
      <c r="B526" s="830"/>
      <c r="C526" s="830"/>
      <c r="D526" s="830" t="s">
        <v>774</v>
      </c>
      <c r="E526" s="851" t="s">
        <v>3173</v>
      </c>
      <c r="F526" s="10"/>
      <c r="G526" s="852"/>
      <c r="H526" s="11"/>
      <c r="I526" s="832" t="s">
        <v>1838</v>
      </c>
      <c r="J526" s="851" t="s">
        <v>2783</v>
      </c>
      <c r="K526" s="6" t="s">
        <v>2783</v>
      </c>
      <c r="L526" s="851">
        <v>4.7753756822415498</v>
      </c>
      <c r="M526" s="833" t="s">
        <v>2810</v>
      </c>
      <c r="N526" s="833" t="s">
        <v>2810</v>
      </c>
      <c r="O526" s="834"/>
      <c r="P526" s="835"/>
      <c r="Q526" s="6"/>
      <c r="R526" s="6"/>
      <c r="S526" s="6"/>
      <c r="T526" s="6"/>
      <c r="U526" s="831"/>
      <c r="V526" s="836"/>
    </row>
    <row r="527" spans="2:22" s="829" customFormat="1" ht="180" outlineLevel="1">
      <c r="B527" s="830"/>
      <c r="C527" s="830"/>
      <c r="D527" s="830" t="s">
        <v>774</v>
      </c>
      <c r="E527" s="851" t="s">
        <v>3173</v>
      </c>
      <c r="F527" s="10"/>
      <c r="G527" s="852"/>
      <c r="H527" s="11"/>
      <c r="I527" s="832" t="s">
        <v>1838</v>
      </c>
      <c r="J527" s="851" t="s">
        <v>2783</v>
      </c>
      <c r="K527" s="6" t="s">
        <v>2783</v>
      </c>
      <c r="L527" s="851">
        <v>5.2316011724376281</v>
      </c>
      <c r="M527" s="833" t="s">
        <v>2810</v>
      </c>
      <c r="N527" s="833" t="s">
        <v>2810</v>
      </c>
      <c r="O527" s="834"/>
      <c r="P527" s="835"/>
      <c r="Q527" s="6"/>
      <c r="R527" s="6"/>
      <c r="S527" s="6"/>
      <c r="T527" s="6"/>
      <c r="U527" s="831"/>
      <c r="V527" s="836"/>
    </row>
    <row r="528" spans="2:22" s="829" customFormat="1" ht="180" outlineLevel="1">
      <c r="B528" s="830"/>
      <c r="C528" s="830"/>
      <c r="D528" s="830" t="s">
        <v>774</v>
      </c>
      <c r="E528" s="851" t="s">
        <v>3173</v>
      </c>
      <c r="F528" s="10"/>
      <c r="G528" s="852"/>
      <c r="H528" s="11"/>
      <c r="I528" s="832" t="s">
        <v>1838</v>
      </c>
      <c r="J528" s="851" t="s">
        <v>2783</v>
      </c>
      <c r="K528" s="6" t="s">
        <v>2783</v>
      </c>
      <c r="L528" s="851">
        <v>5.5772874469474321</v>
      </c>
      <c r="M528" s="833" t="s">
        <v>2810</v>
      </c>
      <c r="N528" s="833" t="s">
        <v>2810</v>
      </c>
      <c r="O528" s="834"/>
      <c r="P528" s="835"/>
      <c r="Q528" s="6"/>
      <c r="R528" s="6"/>
      <c r="S528" s="6"/>
      <c r="T528" s="6"/>
      <c r="U528" s="831"/>
      <c r="V528" s="836"/>
    </row>
    <row r="529" spans="2:22" s="829" customFormat="1" ht="180" outlineLevel="1">
      <c r="B529" s="830"/>
      <c r="C529" s="830"/>
      <c r="D529" s="830" t="s">
        <v>774</v>
      </c>
      <c r="E529" s="851" t="s">
        <v>3173</v>
      </c>
      <c r="F529" s="10"/>
      <c r="G529" s="852"/>
      <c r="H529" s="11"/>
      <c r="I529" s="832" t="s">
        <v>1838</v>
      </c>
      <c r="J529" s="851" t="s">
        <v>2783</v>
      </c>
      <c r="K529" s="6" t="s">
        <v>2783</v>
      </c>
      <c r="L529" s="851">
        <v>5.8345423489082169</v>
      </c>
      <c r="M529" s="833" t="s">
        <v>2810</v>
      </c>
      <c r="N529" s="833" t="s">
        <v>2810</v>
      </c>
      <c r="O529" s="834"/>
      <c r="P529" s="835"/>
      <c r="Q529" s="6"/>
      <c r="R529" s="6"/>
      <c r="S529" s="6"/>
      <c r="T529" s="6"/>
      <c r="U529" s="831"/>
      <c r="V529" s="836"/>
    </row>
    <row r="530" spans="2:22" s="829" customFormat="1" ht="180" outlineLevel="1">
      <c r="B530" s="830"/>
      <c r="C530" s="830"/>
      <c r="D530" s="830" t="s">
        <v>774</v>
      </c>
      <c r="E530" s="851" t="s">
        <v>3173</v>
      </c>
      <c r="F530" s="10"/>
      <c r="G530" s="852"/>
      <c r="H530" s="11"/>
      <c r="I530" s="832" t="s">
        <v>1838</v>
      </c>
      <c r="J530" s="851" t="s">
        <v>2783</v>
      </c>
      <c r="K530" s="6" t="s">
        <v>2783</v>
      </c>
      <c r="L530" s="851">
        <v>6.0917972508690017</v>
      </c>
      <c r="M530" s="833" t="s">
        <v>2810</v>
      </c>
      <c r="N530" s="833" t="s">
        <v>2810</v>
      </c>
      <c r="O530" s="834"/>
      <c r="P530" s="835"/>
      <c r="Q530" s="6"/>
      <c r="R530" s="6"/>
      <c r="S530" s="6"/>
      <c r="T530" s="6"/>
      <c r="U530" s="831"/>
      <c r="V530" s="836"/>
    </row>
    <row r="531" spans="2:22" s="829" customFormat="1" ht="60" outlineLevel="1">
      <c r="B531" s="830"/>
      <c r="C531" s="830"/>
      <c r="D531" s="830" t="s">
        <v>774</v>
      </c>
      <c r="E531" s="851" t="s">
        <v>3192</v>
      </c>
      <c r="F531" s="10"/>
      <c r="G531" s="852"/>
      <c r="H531" s="11"/>
      <c r="I531" s="832" t="s">
        <v>1838</v>
      </c>
      <c r="J531" s="851" t="s">
        <v>2783</v>
      </c>
      <c r="K531" s="6" t="s">
        <v>2783</v>
      </c>
      <c r="L531" s="851">
        <v>3.594287446947432</v>
      </c>
      <c r="M531" s="833" t="s">
        <v>2810</v>
      </c>
      <c r="N531" s="833" t="s">
        <v>2810</v>
      </c>
      <c r="O531" s="834"/>
      <c r="P531" s="835"/>
      <c r="Q531" s="6"/>
      <c r="R531" s="6"/>
      <c r="S531" s="6"/>
      <c r="T531" s="6"/>
      <c r="U531" s="831"/>
      <c r="V531" s="836"/>
    </row>
    <row r="532" spans="2:22" s="829" customFormat="1" ht="60" outlineLevel="1">
      <c r="B532" s="830"/>
      <c r="C532" s="830"/>
      <c r="D532" s="830" t="s">
        <v>774</v>
      </c>
      <c r="E532" s="851" t="s">
        <v>3192</v>
      </c>
      <c r="F532" s="10"/>
      <c r="G532" s="852"/>
      <c r="H532" s="11"/>
      <c r="I532" s="832" t="s">
        <v>3193</v>
      </c>
      <c r="J532" s="851" t="s">
        <v>2783</v>
      </c>
      <c r="K532" s="6" t="s">
        <v>2783</v>
      </c>
      <c r="L532" s="851">
        <v>3.6305227410650791</v>
      </c>
      <c r="M532" s="833" t="s">
        <v>2810</v>
      </c>
      <c r="N532" s="833" t="s">
        <v>2810</v>
      </c>
      <c r="O532" s="834"/>
      <c r="P532" s="835"/>
      <c r="Q532" s="6"/>
      <c r="R532" s="6"/>
      <c r="S532" s="6"/>
      <c r="T532" s="6"/>
      <c r="U532" s="831"/>
      <c r="V532" s="836"/>
    </row>
    <row r="533" spans="2:22" s="829" customFormat="1" ht="60" outlineLevel="1">
      <c r="B533" s="830"/>
      <c r="C533" s="830"/>
      <c r="D533" s="830" t="s">
        <v>774</v>
      </c>
      <c r="E533" s="851" t="s">
        <v>3192</v>
      </c>
      <c r="F533" s="10"/>
      <c r="G533" s="852"/>
      <c r="H533" s="11"/>
      <c r="I533" s="832" t="s">
        <v>3193</v>
      </c>
      <c r="J533" s="851" t="s">
        <v>2783</v>
      </c>
      <c r="K533" s="6" t="s">
        <v>2783</v>
      </c>
      <c r="L533" s="851">
        <v>4.1866452900846873</v>
      </c>
      <c r="M533" s="833" t="s">
        <v>2810</v>
      </c>
      <c r="N533" s="833" t="s">
        <v>2810</v>
      </c>
      <c r="O533" s="834"/>
      <c r="P533" s="835"/>
      <c r="Q533" s="6"/>
      <c r="R533" s="6"/>
      <c r="S533" s="6"/>
      <c r="T533" s="6"/>
      <c r="U533" s="831"/>
      <c r="V533" s="836"/>
    </row>
    <row r="534" spans="2:22" s="829" customFormat="1" ht="60" outlineLevel="1">
      <c r="B534" s="830"/>
      <c r="C534" s="830"/>
      <c r="D534" s="830" t="s">
        <v>774</v>
      </c>
      <c r="E534" s="851" t="s">
        <v>3192</v>
      </c>
      <c r="F534" s="10"/>
      <c r="G534" s="852"/>
      <c r="H534" s="11"/>
      <c r="I534" s="832" t="s">
        <v>3193</v>
      </c>
      <c r="J534" s="851" t="s">
        <v>2783</v>
      </c>
      <c r="K534" s="6" t="s">
        <v>2783</v>
      </c>
      <c r="L534" s="851">
        <v>4.7427678391042951</v>
      </c>
      <c r="M534" s="833" t="s">
        <v>2810</v>
      </c>
      <c r="N534" s="833" t="s">
        <v>2810</v>
      </c>
      <c r="O534" s="834"/>
      <c r="P534" s="835"/>
      <c r="Q534" s="6"/>
      <c r="R534" s="6"/>
      <c r="S534" s="6"/>
      <c r="T534" s="6"/>
      <c r="U534" s="831"/>
      <c r="V534" s="836"/>
    </row>
    <row r="535" spans="2:22" s="829" customFormat="1" ht="60" outlineLevel="1">
      <c r="B535" s="830"/>
      <c r="C535" s="830"/>
      <c r="D535" s="830" t="s">
        <v>774</v>
      </c>
      <c r="E535" s="851" t="s">
        <v>3192</v>
      </c>
      <c r="F535" s="10"/>
      <c r="G535" s="852"/>
      <c r="H535" s="11"/>
      <c r="I535" s="832" t="s">
        <v>3193</v>
      </c>
      <c r="J535" s="851" t="s">
        <v>2783</v>
      </c>
      <c r="K535" s="6" t="s">
        <v>2783</v>
      </c>
      <c r="L535" s="851">
        <v>4.7790031332219423</v>
      </c>
      <c r="M535" s="833" t="s">
        <v>2810</v>
      </c>
      <c r="N535" s="833" t="s">
        <v>2810</v>
      </c>
      <c r="O535" s="834"/>
      <c r="P535" s="835"/>
      <c r="Q535" s="6"/>
      <c r="R535" s="6"/>
      <c r="S535" s="6"/>
      <c r="T535" s="6"/>
      <c r="U535" s="831"/>
      <c r="V535" s="836"/>
    </row>
    <row r="536" spans="2:22" s="829" customFormat="1" ht="60" outlineLevel="1">
      <c r="B536" s="830"/>
      <c r="C536" s="830"/>
      <c r="D536" s="830" t="s">
        <v>774</v>
      </c>
      <c r="E536" s="851" t="s">
        <v>3192</v>
      </c>
      <c r="F536" s="10"/>
      <c r="G536" s="852"/>
      <c r="H536" s="11"/>
      <c r="I536" s="832" t="s">
        <v>3193</v>
      </c>
      <c r="J536" s="851" t="s">
        <v>2783</v>
      </c>
      <c r="K536" s="6" t="s">
        <v>2783</v>
      </c>
      <c r="L536" s="851">
        <v>5.1763560743984129</v>
      </c>
      <c r="M536" s="833" t="s">
        <v>2810</v>
      </c>
      <c r="N536" s="833" t="s">
        <v>2810</v>
      </c>
      <c r="O536" s="834"/>
      <c r="P536" s="835"/>
      <c r="Q536" s="6"/>
      <c r="R536" s="6"/>
      <c r="S536" s="6"/>
      <c r="T536" s="6"/>
      <c r="U536" s="831"/>
      <c r="V536" s="836"/>
    </row>
    <row r="537" spans="2:22" s="829" customFormat="1" ht="60" outlineLevel="1">
      <c r="B537" s="830"/>
      <c r="C537" s="830"/>
      <c r="D537" s="830" t="s">
        <v>774</v>
      </c>
      <c r="E537" s="851" t="s">
        <v>3192</v>
      </c>
      <c r="F537" s="10"/>
      <c r="G537" s="852"/>
      <c r="H537" s="11"/>
      <c r="I537" s="832" t="s">
        <v>3193</v>
      </c>
      <c r="J537" s="851" t="s">
        <v>2783</v>
      </c>
      <c r="K537" s="6" t="s">
        <v>2783</v>
      </c>
      <c r="L537" s="851">
        <v>5.5737090155748836</v>
      </c>
      <c r="M537" s="833" t="s">
        <v>2810</v>
      </c>
      <c r="N537" s="833" t="s">
        <v>2810</v>
      </c>
      <c r="O537" s="834"/>
      <c r="P537" s="835"/>
      <c r="Q537" s="6"/>
      <c r="R537" s="6"/>
      <c r="S537" s="6"/>
      <c r="T537" s="6"/>
      <c r="U537" s="831"/>
      <c r="V537" s="836"/>
    </row>
    <row r="538" spans="2:22" s="829" customFormat="1" ht="60" outlineLevel="1">
      <c r="B538" s="830"/>
      <c r="C538" s="830"/>
      <c r="D538" s="830" t="s">
        <v>774</v>
      </c>
      <c r="E538" s="851" t="s">
        <v>3192</v>
      </c>
      <c r="F538" s="10"/>
      <c r="G538" s="852"/>
      <c r="H538" s="11"/>
      <c r="I538" s="832" t="s">
        <v>3193</v>
      </c>
      <c r="J538" s="851" t="s">
        <v>2783</v>
      </c>
      <c r="K538" s="6" t="s">
        <v>2783</v>
      </c>
      <c r="L538" s="851">
        <v>5.9710619567513543</v>
      </c>
      <c r="M538" s="833" t="s">
        <v>2810</v>
      </c>
      <c r="N538" s="833" t="s">
        <v>2810</v>
      </c>
      <c r="O538" s="834"/>
      <c r="P538" s="835"/>
      <c r="Q538" s="6"/>
      <c r="R538" s="6"/>
      <c r="S538" s="6"/>
      <c r="T538" s="6"/>
      <c r="U538" s="831"/>
      <c r="V538" s="836"/>
    </row>
    <row r="539" spans="2:22" s="829" customFormat="1" ht="60" outlineLevel="1">
      <c r="B539" s="830"/>
      <c r="C539" s="830"/>
      <c r="D539" s="830" t="s">
        <v>774</v>
      </c>
      <c r="E539" s="851" t="s">
        <v>3192</v>
      </c>
      <c r="F539" s="10"/>
      <c r="G539" s="852"/>
      <c r="H539" s="11"/>
      <c r="I539" s="832" t="s">
        <v>3193</v>
      </c>
      <c r="J539" s="851" t="s">
        <v>2783</v>
      </c>
      <c r="K539" s="6" t="s">
        <v>2783</v>
      </c>
      <c r="L539" s="851">
        <v>6.7657678391042957</v>
      </c>
      <c r="M539" s="833" t="s">
        <v>2810</v>
      </c>
      <c r="N539" s="833" t="s">
        <v>2810</v>
      </c>
      <c r="O539" s="834"/>
      <c r="P539" s="835"/>
      <c r="Q539" s="6"/>
      <c r="R539" s="6"/>
      <c r="S539" s="6"/>
      <c r="T539" s="6"/>
      <c r="U539" s="831"/>
      <c r="V539" s="836"/>
    </row>
    <row r="540" spans="2:22" s="829" customFormat="1" ht="60" outlineLevel="1">
      <c r="B540" s="830"/>
      <c r="C540" s="830"/>
      <c r="D540" s="830" t="s">
        <v>774</v>
      </c>
      <c r="E540" s="851" t="s">
        <v>3192</v>
      </c>
      <c r="F540" s="10"/>
      <c r="G540" s="852"/>
      <c r="H540" s="11"/>
      <c r="I540" s="832" t="s">
        <v>3193</v>
      </c>
      <c r="J540" s="851" t="s">
        <v>2783</v>
      </c>
      <c r="K540" s="6" t="s">
        <v>2783</v>
      </c>
      <c r="L540" s="851">
        <v>7.5604737214572371</v>
      </c>
      <c r="M540" s="833" t="s">
        <v>2810</v>
      </c>
      <c r="N540" s="833" t="s">
        <v>2810</v>
      </c>
      <c r="O540" s="834"/>
      <c r="P540" s="835"/>
      <c r="Q540" s="6"/>
      <c r="R540" s="6"/>
      <c r="S540" s="6"/>
      <c r="T540" s="6"/>
      <c r="U540" s="831"/>
      <c r="V540" s="836"/>
    </row>
    <row r="541" spans="2:22" s="829" customFormat="1" ht="60" outlineLevel="1">
      <c r="B541" s="830"/>
      <c r="C541" s="830"/>
      <c r="D541" s="830" t="s">
        <v>774</v>
      </c>
      <c r="E541" s="851" t="s">
        <v>3192</v>
      </c>
      <c r="F541" s="10"/>
      <c r="G541" s="852"/>
      <c r="H541" s="11"/>
      <c r="I541" s="832" t="s">
        <v>3193</v>
      </c>
      <c r="J541" s="851" t="s">
        <v>2783</v>
      </c>
      <c r="K541" s="6" t="s">
        <v>2783</v>
      </c>
      <c r="L541" s="851">
        <v>7.9578266626337069</v>
      </c>
      <c r="M541" s="833" t="s">
        <v>2810</v>
      </c>
      <c r="N541" s="833" t="s">
        <v>2810</v>
      </c>
      <c r="O541" s="834"/>
      <c r="P541" s="835"/>
      <c r="Q541" s="6"/>
      <c r="R541" s="6"/>
      <c r="S541" s="6"/>
      <c r="T541" s="6"/>
      <c r="U541" s="831"/>
      <c r="V541" s="836"/>
    </row>
    <row r="542" spans="2:22" s="829" customFormat="1" ht="210" outlineLevel="1">
      <c r="B542" s="830"/>
      <c r="C542" s="830"/>
      <c r="D542" s="830" t="s">
        <v>774</v>
      </c>
      <c r="E542" s="851" t="s">
        <v>3194</v>
      </c>
      <c r="F542" s="10"/>
      <c r="G542" s="852"/>
      <c r="H542" s="11"/>
      <c r="I542" s="832" t="s">
        <v>998</v>
      </c>
      <c r="J542" s="851" t="s">
        <v>3195</v>
      </c>
      <c r="K542" s="6" t="s">
        <v>2783</v>
      </c>
      <c r="L542" s="851">
        <v>0.4231091685384164</v>
      </c>
      <c r="M542" s="833" t="s">
        <v>2951</v>
      </c>
      <c r="N542" s="833" t="s">
        <v>2810</v>
      </c>
      <c r="O542" s="834"/>
      <c r="P542" s="835"/>
      <c r="Q542" s="6"/>
      <c r="R542" s="6"/>
      <c r="S542" s="6"/>
      <c r="T542" s="6"/>
      <c r="U542" s="831"/>
      <c r="V542" s="836"/>
    </row>
    <row r="543" spans="2:22" s="829" customFormat="1" ht="210" outlineLevel="1">
      <c r="B543" s="830"/>
      <c r="C543" s="830"/>
      <c r="D543" s="830" t="s">
        <v>774</v>
      </c>
      <c r="E543" s="851" t="s">
        <v>3194</v>
      </c>
      <c r="F543" s="10"/>
      <c r="G543" s="852"/>
      <c r="H543" s="11"/>
      <c r="I543" s="832" t="s">
        <v>998</v>
      </c>
      <c r="J543" s="851" t="s">
        <v>3195</v>
      </c>
      <c r="K543" s="6" t="s">
        <v>2783</v>
      </c>
      <c r="L543" s="851">
        <v>0.4231091685384164</v>
      </c>
      <c r="M543" s="833" t="s">
        <v>2951</v>
      </c>
      <c r="N543" s="833" t="s">
        <v>2810</v>
      </c>
      <c r="O543" s="834"/>
      <c r="P543" s="835"/>
      <c r="Q543" s="6"/>
      <c r="R543" s="6"/>
      <c r="S543" s="6"/>
      <c r="T543" s="6"/>
      <c r="U543" s="831"/>
      <c r="V543" s="836"/>
    </row>
    <row r="544" spans="2:22" s="829" customFormat="1" ht="210" outlineLevel="1">
      <c r="B544" s="830"/>
      <c r="C544" s="830"/>
      <c r="D544" s="830" t="s">
        <v>774</v>
      </c>
      <c r="E544" s="851" t="s">
        <v>3194</v>
      </c>
      <c r="F544" s="10"/>
      <c r="G544" s="852"/>
      <c r="H544" s="11"/>
      <c r="I544" s="832" t="s">
        <v>3193</v>
      </c>
      <c r="J544" s="851" t="s">
        <v>3195</v>
      </c>
      <c r="K544" s="6" t="s">
        <v>2783</v>
      </c>
      <c r="L544" s="851">
        <v>0.28889763046601508</v>
      </c>
      <c r="M544" s="833" t="s">
        <v>2951</v>
      </c>
      <c r="N544" s="833" t="s">
        <v>2810</v>
      </c>
      <c r="O544" s="834"/>
      <c r="P544" s="835"/>
      <c r="Q544" s="6"/>
      <c r="R544" s="6"/>
      <c r="S544" s="6"/>
      <c r="T544" s="6"/>
      <c r="U544" s="831"/>
      <c r="V544" s="836"/>
    </row>
    <row r="545" spans="2:22" s="829" customFormat="1" ht="210" outlineLevel="1">
      <c r="B545" s="830"/>
      <c r="C545" s="830"/>
      <c r="D545" s="830" t="s">
        <v>774</v>
      </c>
      <c r="E545" s="851" t="s">
        <v>3194</v>
      </c>
      <c r="F545" s="10"/>
      <c r="G545" s="852"/>
      <c r="H545" s="11"/>
      <c r="I545" s="832" t="s">
        <v>3193</v>
      </c>
      <c r="J545" s="851" t="s">
        <v>3195</v>
      </c>
      <c r="K545" s="6" t="s">
        <v>2783</v>
      </c>
      <c r="L545" s="851">
        <v>0.22675068293571296</v>
      </c>
      <c r="M545" s="833" t="s">
        <v>2951</v>
      </c>
      <c r="N545" s="833" t="s">
        <v>2810</v>
      </c>
      <c r="O545" s="834"/>
      <c r="P545" s="835"/>
      <c r="Q545" s="6"/>
      <c r="R545" s="6"/>
      <c r="S545" s="6"/>
      <c r="T545" s="6"/>
      <c r="U545" s="831"/>
      <c r="V545" s="836"/>
    </row>
    <row r="546" spans="2:22" s="829" customFormat="1" ht="210" outlineLevel="1">
      <c r="B546" s="830"/>
      <c r="C546" s="830"/>
      <c r="D546" s="830" t="s">
        <v>774</v>
      </c>
      <c r="E546" s="851" t="s">
        <v>3194</v>
      </c>
      <c r="F546" s="10"/>
      <c r="G546" s="852"/>
      <c r="H546" s="11"/>
      <c r="I546" s="832" t="s">
        <v>3193</v>
      </c>
      <c r="J546" s="851" t="s">
        <v>3195</v>
      </c>
      <c r="K546" s="6" t="s">
        <v>2783</v>
      </c>
      <c r="L546" s="851">
        <v>0.20522443363310233</v>
      </c>
      <c r="M546" s="833" t="s">
        <v>2951</v>
      </c>
      <c r="N546" s="833" t="s">
        <v>2810</v>
      </c>
      <c r="O546" s="834"/>
      <c r="P546" s="835"/>
      <c r="Q546" s="6"/>
      <c r="R546" s="6"/>
      <c r="S546" s="6"/>
      <c r="T546" s="6"/>
      <c r="U546" s="831"/>
      <c r="V546" s="836"/>
    </row>
    <row r="547" spans="2:22" s="829" customFormat="1" ht="210" outlineLevel="1">
      <c r="B547" s="830"/>
      <c r="C547" s="830"/>
      <c r="D547" s="830" t="s">
        <v>774</v>
      </c>
      <c r="E547" s="851" t="s">
        <v>3194</v>
      </c>
      <c r="F547" s="10"/>
      <c r="G547" s="852"/>
      <c r="H547" s="11"/>
      <c r="I547" s="832" t="s">
        <v>3193</v>
      </c>
      <c r="J547" s="851" t="s">
        <v>3195</v>
      </c>
      <c r="K547" s="6" t="s">
        <v>2783</v>
      </c>
      <c r="L547" s="851">
        <v>0.18641557835380454</v>
      </c>
      <c r="M547" s="833" t="s">
        <v>2951</v>
      </c>
      <c r="N547" s="833" t="s">
        <v>2810</v>
      </c>
      <c r="O547" s="834"/>
      <c r="P547" s="835"/>
      <c r="Q547" s="6"/>
      <c r="R547" s="6"/>
      <c r="S547" s="6"/>
      <c r="T547" s="6"/>
      <c r="U547" s="831"/>
      <c r="V547" s="836"/>
    </row>
    <row r="548" spans="2:22" s="829" customFormat="1" ht="210" outlineLevel="1">
      <c r="B548" s="830"/>
      <c r="C548" s="830"/>
      <c r="D548" s="830" t="s">
        <v>774</v>
      </c>
      <c r="E548" s="851" t="s">
        <v>3194</v>
      </c>
      <c r="F548" s="10"/>
      <c r="G548" s="852"/>
      <c r="H548" s="11"/>
      <c r="I548" s="832" t="s">
        <v>3193</v>
      </c>
      <c r="J548" s="851" t="s">
        <v>3195</v>
      </c>
      <c r="K548" s="6" t="s">
        <v>2783</v>
      </c>
      <c r="L548" s="851">
        <v>0.20720045473860807</v>
      </c>
      <c r="M548" s="833" t="s">
        <v>2951</v>
      </c>
      <c r="N548" s="833" t="s">
        <v>2810</v>
      </c>
      <c r="O548" s="834"/>
      <c r="P548" s="835"/>
      <c r="Q548" s="6"/>
      <c r="R548" s="6"/>
      <c r="S548" s="6"/>
      <c r="T548" s="6"/>
      <c r="U548" s="831"/>
      <c r="V548" s="836"/>
    </row>
    <row r="549" spans="2:22" s="829" customFormat="1" ht="210" outlineLevel="1">
      <c r="B549" s="830"/>
      <c r="C549" s="830"/>
      <c r="D549" s="830" t="s">
        <v>774</v>
      </c>
      <c r="E549" s="851" t="s">
        <v>3194</v>
      </c>
      <c r="F549" s="10"/>
      <c r="G549" s="852"/>
      <c r="H549" s="11"/>
      <c r="I549" s="832" t="s">
        <v>3193</v>
      </c>
      <c r="J549" s="851" t="s">
        <v>3195</v>
      </c>
      <c r="K549" s="6" t="s">
        <v>2783</v>
      </c>
      <c r="L549" s="851">
        <v>0.19821484507115539</v>
      </c>
      <c r="M549" s="833" t="s">
        <v>2951</v>
      </c>
      <c r="N549" s="833" t="s">
        <v>2810</v>
      </c>
      <c r="O549" s="834"/>
      <c r="P549" s="835"/>
      <c r="Q549" s="6"/>
      <c r="R549" s="6"/>
      <c r="S549" s="6"/>
      <c r="T549" s="6"/>
      <c r="U549" s="831"/>
      <c r="V549" s="836"/>
    </row>
    <row r="550" spans="2:22" s="829" customFormat="1" ht="210" outlineLevel="1">
      <c r="B550" s="830"/>
      <c r="C550" s="830"/>
      <c r="D550" s="830" t="s">
        <v>774</v>
      </c>
      <c r="E550" s="851" t="s">
        <v>3194</v>
      </c>
      <c r="F550" s="10"/>
      <c r="G550" s="852"/>
      <c r="H550" s="11"/>
      <c r="I550" s="832" t="s">
        <v>3193</v>
      </c>
      <c r="J550" s="851" t="s">
        <v>3195</v>
      </c>
      <c r="K550" s="6" t="s">
        <v>2783</v>
      </c>
      <c r="L550" s="851">
        <v>0.19109645464917727</v>
      </c>
      <c r="M550" s="833" t="s">
        <v>2951</v>
      </c>
      <c r="N550" s="833" t="s">
        <v>2810</v>
      </c>
      <c r="O550" s="834"/>
      <c r="P550" s="835"/>
      <c r="Q550" s="6"/>
      <c r="R550" s="6"/>
      <c r="S550" s="6"/>
      <c r="T550" s="6"/>
      <c r="U550" s="831"/>
      <c r="V550" s="836"/>
    </row>
    <row r="551" spans="2:22" s="829" customFormat="1" ht="210" outlineLevel="1">
      <c r="B551" s="830"/>
      <c r="C551" s="830"/>
      <c r="D551" s="830" t="s">
        <v>774</v>
      </c>
      <c r="E551" s="851" t="s">
        <v>3194</v>
      </c>
      <c r="F551" s="10"/>
      <c r="G551" s="852"/>
      <c r="H551" s="11"/>
      <c r="I551" s="832" t="s">
        <v>3193</v>
      </c>
      <c r="J551" s="851" t="s">
        <v>3195</v>
      </c>
      <c r="K551" s="6" t="s">
        <v>2783</v>
      </c>
      <c r="L551" s="851">
        <v>0.18202959455540044</v>
      </c>
      <c r="M551" s="833" t="s">
        <v>2951</v>
      </c>
      <c r="N551" s="833" t="s">
        <v>2810</v>
      </c>
      <c r="O551" s="834"/>
      <c r="P551" s="835"/>
      <c r="Q551" s="6"/>
      <c r="R551" s="6"/>
      <c r="S551" s="6"/>
      <c r="T551" s="6"/>
      <c r="U551" s="831"/>
      <c r="V551" s="836"/>
    </row>
    <row r="552" spans="2:22" s="829" customFormat="1" ht="210" outlineLevel="1">
      <c r="B552" s="830"/>
      <c r="C552" s="830"/>
      <c r="D552" s="830" t="s">
        <v>774</v>
      </c>
      <c r="E552" s="851" t="s">
        <v>3194</v>
      </c>
      <c r="F552" s="10"/>
      <c r="G552" s="852"/>
      <c r="H552" s="11"/>
      <c r="I552" s="832" t="s">
        <v>3193</v>
      </c>
      <c r="J552" s="851" t="s">
        <v>3195</v>
      </c>
      <c r="K552" s="6" t="s">
        <v>2783</v>
      </c>
      <c r="L552" s="851">
        <v>0.17763061170804759</v>
      </c>
      <c r="M552" s="833" t="s">
        <v>2951</v>
      </c>
      <c r="N552" s="833" t="s">
        <v>2810</v>
      </c>
      <c r="O552" s="834"/>
      <c r="P552" s="835"/>
      <c r="Q552" s="6"/>
      <c r="R552" s="6"/>
      <c r="S552" s="6"/>
      <c r="T552" s="6"/>
      <c r="U552" s="831"/>
      <c r="V552" s="836"/>
    </row>
    <row r="553" spans="2:22" s="829" customFormat="1" ht="210" outlineLevel="1">
      <c r="B553" s="830"/>
      <c r="C553" s="830"/>
      <c r="D553" s="830" t="s">
        <v>774</v>
      </c>
      <c r="E553" s="851" t="s">
        <v>3194</v>
      </c>
      <c r="F553" s="10"/>
      <c r="G553" s="852"/>
      <c r="H553" s="11"/>
      <c r="I553" s="832" t="s">
        <v>3193</v>
      </c>
      <c r="J553" s="851" t="s">
        <v>3195</v>
      </c>
      <c r="K553" s="6" t="s">
        <v>2783</v>
      </c>
      <c r="L553" s="851">
        <v>0.18370568404864526</v>
      </c>
      <c r="M553" s="833" t="s">
        <v>2951</v>
      </c>
      <c r="N553" s="833" t="s">
        <v>2810</v>
      </c>
      <c r="O553" s="834"/>
      <c r="P553" s="835"/>
      <c r="Q553" s="6"/>
      <c r="R553" s="6"/>
      <c r="S553" s="6"/>
      <c r="T553" s="6"/>
      <c r="U553" s="831"/>
      <c r="V553" s="836"/>
    </row>
    <row r="554" spans="2:22" s="829" customFormat="1" ht="210" outlineLevel="1">
      <c r="B554" s="830"/>
      <c r="C554" s="830"/>
      <c r="D554" s="830" t="s">
        <v>774</v>
      </c>
      <c r="E554" s="851" t="s">
        <v>3194</v>
      </c>
      <c r="F554" s="10"/>
      <c r="G554" s="852"/>
      <c r="H554" s="11"/>
      <c r="I554" s="832" t="s">
        <v>3193</v>
      </c>
      <c r="J554" s="851" t="s">
        <v>3195</v>
      </c>
      <c r="K554" s="6" t="s">
        <v>2783</v>
      </c>
      <c r="L554" s="851">
        <v>0.17547253922882025</v>
      </c>
      <c r="M554" s="833" t="s">
        <v>2951</v>
      </c>
      <c r="N554" s="833" t="s">
        <v>2810</v>
      </c>
      <c r="O554" s="834"/>
      <c r="P554" s="835"/>
      <c r="Q554" s="6"/>
      <c r="R554" s="6"/>
      <c r="S554" s="6"/>
      <c r="T554" s="6"/>
      <c r="U554" s="831"/>
      <c r="V554" s="836"/>
    </row>
    <row r="555" spans="2:22" s="829" customFormat="1" ht="210" outlineLevel="1">
      <c r="B555" s="830"/>
      <c r="C555" s="830"/>
      <c r="D555" s="830" t="s">
        <v>774</v>
      </c>
      <c r="E555" s="851" t="s">
        <v>3194</v>
      </c>
      <c r="F555" s="10"/>
      <c r="G555" s="852"/>
      <c r="H555" s="11"/>
      <c r="I555" s="832" t="s">
        <v>3193</v>
      </c>
      <c r="J555" s="851" t="s">
        <v>3195</v>
      </c>
      <c r="K555" s="6" t="s">
        <v>2783</v>
      </c>
      <c r="L555" s="851">
        <v>0.16925469960946199</v>
      </c>
      <c r="M555" s="833" t="s">
        <v>2951</v>
      </c>
      <c r="N555" s="833" t="s">
        <v>2810</v>
      </c>
      <c r="O555" s="834"/>
      <c r="P555" s="835"/>
      <c r="Q555" s="6"/>
      <c r="R555" s="6"/>
      <c r="S555" s="6"/>
      <c r="T555" s="6"/>
      <c r="U555" s="831"/>
      <c r="V555" s="836"/>
    </row>
    <row r="556" spans="2:22" s="829" customFormat="1" ht="210" outlineLevel="1">
      <c r="B556" s="830"/>
      <c r="C556" s="830"/>
      <c r="D556" s="830" t="s">
        <v>774</v>
      </c>
      <c r="E556" s="851" t="s">
        <v>3194</v>
      </c>
      <c r="F556" s="10"/>
      <c r="G556" s="852"/>
      <c r="H556" s="11"/>
      <c r="I556" s="832" t="s">
        <v>3193</v>
      </c>
      <c r="J556" s="851" t="s">
        <v>3195</v>
      </c>
      <c r="K556" s="6" t="s">
        <v>2783</v>
      </c>
      <c r="L556" s="851">
        <v>0.16326078094120344</v>
      </c>
      <c r="M556" s="833" t="s">
        <v>2951</v>
      </c>
      <c r="N556" s="833" t="s">
        <v>2810</v>
      </c>
      <c r="O556" s="834"/>
      <c r="P556" s="835"/>
      <c r="Q556" s="6"/>
      <c r="R556" s="6"/>
      <c r="S556" s="6"/>
      <c r="T556" s="6"/>
      <c r="U556" s="831"/>
      <c r="V556" s="836"/>
    </row>
    <row r="557" spans="2:22" s="829" customFormat="1" ht="210" outlineLevel="1">
      <c r="B557" s="830"/>
      <c r="C557" s="830"/>
      <c r="D557" s="830" t="s">
        <v>774</v>
      </c>
      <c r="E557" s="851" t="s">
        <v>3194</v>
      </c>
      <c r="F557" s="10"/>
      <c r="G557" s="852"/>
      <c r="H557" s="11"/>
      <c r="I557" s="832" t="s">
        <v>3193</v>
      </c>
      <c r="J557" s="851" t="s">
        <v>3195</v>
      </c>
      <c r="K557" s="6" t="s">
        <v>2783</v>
      </c>
      <c r="L557" s="851">
        <v>0.16252682733361667</v>
      </c>
      <c r="M557" s="833" t="s">
        <v>2951</v>
      </c>
      <c r="N557" s="833" t="s">
        <v>2810</v>
      </c>
      <c r="O557" s="834"/>
      <c r="P557" s="835"/>
      <c r="Q557" s="6"/>
      <c r="R557" s="6"/>
      <c r="S557" s="6"/>
      <c r="T557" s="6"/>
      <c r="U557" s="831"/>
      <c r="V557" s="836"/>
    </row>
    <row r="558" spans="2:22" s="829" customFormat="1" ht="210" outlineLevel="1">
      <c r="B558" s="830"/>
      <c r="C558" s="830"/>
      <c r="D558" s="830" t="s">
        <v>774</v>
      </c>
      <c r="E558" s="851" t="s">
        <v>3194</v>
      </c>
      <c r="F558" s="10"/>
      <c r="G558" s="852"/>
      <c r="H558" s="11"/>
      <c r="I558" s="832" t="s">
        <v>3193</v>
      </c>
      <c r="J558" s="851" t="s">
        <v>3195</v>
      </c>
      <c r="K558" s="6" t="s">
        <v>2783</v>
      </c>
      <c r="L558" s="851">
        <v>0.17106585240494546</v>
      </c>
      <c r="M558" s="833" t="s">
        <v>2951</v>
      </c>
      <c r="N558" s="833" t="s">
        <v>2810</v>
      </c>
      <c r="O558" s="834"/>
      <c r="P558" s="835"/>
      <c r="Q558" s="6"/>
      <c r="R558" s="6"/>
      <c r="S558" s="6"/>
      <c r="T558" s="6"/>
      <c r="U558" s="831"/>
      <c r="V558" s="836"/>
    </row>
    <row r="559" spans="2:22" s="829" customFormat="1" ht="210" outlineLevel="1">
      <c r="B559" s="830"/>
      <c r="C559" s="830"/>
      <c r="D559" s="830" t="s">
        <v>774</v>
      </c>
      <c r="E559" s="851" t="s">
        <v>3194</v>
      </c>
      <c r="F559" s="10"/>
      <c r="G559" s="852"/>
      <c r="H559" s="11"/>
      <c r="I559" s="832" t="s">
        <v>3193</v>
      </c>
      <c r="J559" s="851" t="s">
        <v>3195</v>
      </c>
      <c r="K559" s="6" t="s">
        <v>2783</v>
      </c>
      <c r="L559" s="851">
        <v>0.15922403609947589</v>
      </c>
      <c r="M559" s="833" t="s">
        <v>2951</v>
      </c>
      <c r="N559" s="833" t="s">
        <v>2810</v>
      </c>
      <c r="O559" s="834"/>
      <c r="P559" s="835"/>
      <c r="Q559" s="6"/>
      <c r="R559" s="6"/>
      <c r="S559" s="6"/>
      <c r="T559" s="6"/>
      <c r="U559" s="831"/>
      <c r="V559" s="836"/>
    </row>
    <row r="560" spans="2:22" s="829" customFormat="1" ht="210" outlineLevel="1">
      <c r="B560" s="830"/>
      <c r="C560" s="830"/>
      <c r="D560" s="830" t="s">
        <v>774</v>
      </c>
      <c r="E560" s="851" t="s">
        <v>3194</v>
      </c>
      <c r="F560" s="10"/>
      <c r="G560" s="852"/>
      <c r="H560" s="11"/>
      <c r="I560" s="832" t="s">
        <v>3193</v>
      </c>
      <c r="J560" s="851" t="s">
        <v>3195</v>
      </c>
      <c r="K560" s="6" t="s">
        <v>2783</v>
      </c>
      <c r="L560" s="851">
        <v>0.1521897523138874</v>
      </c>
      <c r="M560" s="833" t="s">
        <v>2951</v>
      </c>
      <c r="N560" s="833" t="s">
        <v>2810</v>
      </c>
      <c r="O560" s="834"/>
      <c r="P560" s="835"/>
      <c r="Q560" s="6"/>
      <c r="R560" s="6"/>
      <c r="S560" s="6"/>
      <c r="T560" s="6"/>
      <c r="U560" s="831"/>
      <c r="V560" s="836"/>
    </row>
    <row r="561" spans="2:22" s="829" customFormat="1" ht="75" outlineLevel="1">
      <c r="B561" s="830"/>
      <c r="C561" s="830"/>
      <c r="D561" s="830" t="s">
        <v>774</v>
      </c>
      <c r="E561" s="851" t="s">
        <v>3196</v>
      </c>
      <c r="F561" s="10"/>
      <c r="G561" s="852"/>
      <c r="H561" s="11"/>
      <c r="I561" s="832" t="s">
        <v>3193</v>
      </c>
      <c r="J561" s="851" t="s">
        <v>2783</v>
      </c>
      <c r="K561" s="6" t="s">
        <v>2783</v>
      </c>
      <c r="L561" s="851">
        <v>0.23506064918800912</v>
      </c>
      <c r="M561" s="833" t="s">
        <v>2810</v>
      </c>
      <c r="N561" s="833" t="s">
        <v>2810</v>
      </c>
      <c r="O561" s="834"/>
      <c r="P561" s="835"/>
      <c r="Q561" s="6"/>
      <c r="R561" s="6"/>
      <c r="S561" s="6"/>
      <c r="T561" s="6"/>
      <c r="U561" s="831"/>
      <c r="V561" s="836"/>
    </row>
    <row r="562" spans="2:22" s="829" customFormat="1" ht="75" outlineLevel="1">
      <c r="B562" s="830"/>
      <c r="C562" s="830"/>
      <c r="D562" s="830" t="s">
        <v>774</v>
      </c>
      <c r="E562" s="851" t="s">
        <v>3196</v>
      </c>
      <c r="F562" s="10"/>
      <c r="G562" s="852"/>
      <c r="H562" s="11"/>
      <c r="I562" s="832" t="s">
        <v>3193</v>
      </c>
      <c r="J562" s="851" t="s">
        <v>2783</v>
      </c>
      <c r="K562" s="6" t="s">
        <v>2783</v>
      </c>
      <c r="L562" s="851">
        <v>0.23506064918800912</v>
      </c>
      <c r="M562" s="833" t="s">
        <v>2810</v>
      </c>
      <c r="N562" s="833" t="s">
        <v>2810</v>
      </c>
      <c r="O562" s="834"/>
      <c r="P562" s="835"/>
      <c r="Q562" s="6"/>
      <c r="R562" s="6"/>
      <c r="S562" s="6"/>
      <c r="T562" s="6"/>
      <c r="U562" s="831"/>
      <c r="V562" s="836"/>
    </row>
    <row r="563" spans="2:22" s="829" customFormat="1" ht="75" outlineLevel="1">
      <c r="B563" s="830"/>
      <c r="C563" s="830"/>
      <c r="D563" s="830" t="s">
        <v>774</v>
      </c>
      <c r="E563" s="851" t="s">
        <v>3196</v>
      </c>
      <c r="F563" s="10"/>
      <c r="G563" s="852"/>
      <c r="H563" s="11"/>
      <c r="I563" s="832" t="s">
        <v>3193</v>
      </c>
      <c r="J563" s="851" t="s">
        <v>2783</v>
      </c>
      <c r="K563" s="6" t="s">
        <v>2783</v>
      </c>
      <c r="L563" s="851">
        <v>0.1604986835922306</v>
      </c>
      <c r="M563" s="833" t="s">
        <v>2810</v>
      </c>
      <c r="N563" s="833" t="s">
        <v>2810</v>
      </c>
      <c r="O563" s="834"/>
      <c r="P563" s="835"/>
      <c r="Q563" s="6"/>
      <c r="R563" s="6"/>
      <c r="S563" s="6"/>
      <c r="T563" s="6"/>
      <c r="U563" s="831"/>
      <c r="V563" s="836"/>
    </row>
    <row r="564" spans="2:22" s="829" customFormat="1" ht="75" outlineLevel="1">
      <c r="B564" s="830"/>
      <c r="C564" s="830"/>
      <c r="D564" s="830" t="s">
        <v>774</v>
      </c>
      <c r="E564" s="851" t="s">
        <v>3196</v>
      </c>
      <c r="F564" s="10"/>
      <c r="G564" s="852"/>
      <c r="H564" s="11"/>
      <c r="I564" s="832" t="s">
        <v>3193</v>
      </c>
      <c r="J564" s="851" t="s">
        <v>2783</v>
      </c>
      <c r="K564" s="6" t="s">
        <v>2783</v>
      </c>
      <c r="L564" s="851">
        <v>0.12597260163095164</v>
      </c>
      <c r="M564" s="833" t="s">
        <v>2810</v>
      </c>
      <c r="N564" s="833" t="s">
        <v>2810</v>
      </c>
      <c r="O564" s="834"/>
      <c r="P564" s="835"/>
      <c r="Q564" s="6"/>
      <c r="R564" s="6"/>
      <c r="S564" s="6"/>
      <c r="T564" s="6"/>
      <c r="U564" s="831"/>
      <c r="V564" s="836"/>
    </row>
    <row r="565" spans="2:22" s="829" customFormat="1" ht="75" outlineLevel="1">
      <c r="B565" s="830"/>
      <c r="C565" s="830"/>
      <c r="D565" s="830" t="s">
        <v>774</v>
      </c>
      <c r="E565" s="851" t="s">
        <v>3196</v>
      </c>
      <c r="F565" s="10"/>
      <c r="G565" s="852"/>
      <c r="H565" s="11"/>
      <c r="I565" s="832" t="s">
        <v>3193</v>
      </c>
      <c r="J565" s="851" t="s">
        <v>2783</v>
      </c>
      <c r="K565" s="6" t="s">
        <v>2783</v>
      </c>
      <c r="L565" s="851">
        <v>0.1140135742406124</v>
      </c>
      <c r="M565" s="833" t="s">
        <v>2810</v>
      </c>
      <c r="N565" s="833" t="s">
        <v>2810</v>
      </c>
      <c r="O565" s="834"/>
      <c r="P565" s="835"/>
      <c r="Q565" s="6"/>
      <c r="R565" s="6"/>
      <c r="S565" s="6"/>
      <c r="T565" s="6"/>
      <c r="U565" s="831"/>
      <c r="V565" s="836"/>
    </row>
    <row r="566" spans="2:22" s="829" customFormat="1" ht="75" outlineLevel="1">
      <c r="B566" s="830"/>
      <c r="C566" s="830"/>
      <c r="D566" s="830" t="s">
        <v>774</v>
      </c>
      <c r="E566" s="851" t="s">
        <v>3196</v>
      </c>
      <c r="F566" s="10"/>
      <c r="G566" s="852"/>
      <c r="H566" s="11"/>
      <c r="I566" s="832" t="s">
        <v>3193</v>
      </c>
      <c r="J566" s="851" t="s">
        <v>2783</v>
      </c>
      <c r="K566" s="6" t="s">
        <v>2783</v>
      </c>
      <c r="L566" s="851">
        <v>0.10356421019655808</v>
      </c>
      <c r="M566" s="833" t="s">
        <v>2810</v>
      </c>
      <c r="N566" s="833" t="s">
        <v>2810</v>
      </c>
      <c r="O566" s="834"/>
      <c r="P566" s="835"/>
      <c r="Q566" s="6"/>
      <c r="R566" s="6"/>
      <c r="S566" s="6"/>
      <c r="T566" s="6"/>
      <c r="U566" s="831"/>
      <c r="V566" s="836"/>
    </row>
    <row r="567" spans="2:22" s="829" customFormat="1" ht="75" outlineLevel="1">
      <c r="B567" s="830"/>
      <c r="C567" s="830"/>
      <c r="D567" s="830" t="s">
        <v>774</v>
      </c>
      <c r="E567" s="851" t="s">
        <v>3196</v>
      </c>
      <c r="F567" s="10"/>
      <c r="G567" s="852"/>
      <c r="H567" s="11"/>
      <c r="I567" s="832" t="s">
        <v>3193</v>
      </c>
      <c r="J567" s="851" t="s">
        <v>2783</v>
      </c>
      <c r="K567" s="6" t="s">
        <v>2783</v>
      </c>
      <c r="L567" s="851">
        <v>0.11511136374367115</v>
      </c>
      <c r="M567" s="833" t="s">
        <v>2810</v>
      </c>
      <c r="N567" s="833" t="s">
        <v>2810</v>
      </c>
      <c r="O567" s="834"/>
      <c r="P567" s="835"/>
      <c r="Q567" s="6"/>
      <c r="R567" s="6"/>
      <c r="S567" s="6"/>
      <c r="T567" s="6"/>
      <c r="U567" s="831"/>
      <c r="V567" s="836"/>
    </row>
    <row r="568" spans="2:22" s="829" customFormat="1" ht="75" outlineLevel="1">
      <c r="B568" s="830"/>
      <c r="C568" s="830"/>
      <c r="D568" s="830" t="s">
        <v>774</v>
      </c>
      <c r="E568" s="851" t="s">
        <v>3196</v>
      </c>
      <c r="F568" s="10"/>
      <c r="G568" s="852"/>
      <c r="H568" s="11"/>
      <c r="I568" s="832" t="s">
        <v>3193</v>
      </c>
      <c r="J568" s="851" t="s">
        <v>2783</v>
      </c>
      <c r="K568" s="6" t="s">
        <v>2783</v>
      </c>
      <c r="L568" s="851">
        <v>0.1101193583728641</v>
      </c>
      <c r="M568" s="833" t="s">
        <v>2810</v>
      </c>
      <c r="N568" s="833" t="s">
        <v>2810</v>
      </c>
      <c r="O568" s="834"/>
      <c r="P568" s="835"/>
      <c r="Q568" s="6"/>
      <c r="R568" s="6"/>
      <c r="S568" s="6"/>
      <c r="T568" s="6"/>
      <c r="U568" s="831"/>
      <c r="V568" s="836"/>
    </row>
    <row r="569" spans="2:22" s="829" customFormat="1" ht="75" outlineLevel="1">
      <c r="B569" s="830"/>
      <c r="C569" s="830"/>
      <c r="D569" s="830" t="s">
        <v>774</v>
      </c>
      <c r="E569" s="851" t="s">
        <v>3196</v>
      </c>
      <c r="F569" s="10"/>
      <c r="G569" s="852"/>
      <c r="H569" s="11"/>
      <c r="I569" s="832" t="s">
        <v>3193</v>
      </c>
      <c r="J569" s="851" t="s">
        <v>2783</v>
      </c>
      <c r="K569" s="6" t="s">
        <v>2783</v>
      </c>
      <c r="L569" s="851">
        <v>0.1061646970273207</v>
      </c>
      <c r="M569" s="833" t="s">
        <v>2810</v>
      </c>
      <c r="N569" s="833" t="s">
        <v>2810</v>
      </c>
      <c r="O569" s="834"/>
      <c r="P569" s="835"/>
      <c r="Q569" s="6"/>
      <c r="R569" s="6"/>
      <c r="S569" s="6"/>
      <c r="T569" s="6"/>
      <c r="U569" s="831"/>
      <c r="V569" s="836"/>
    </row>
    <row r="570" spans="2:22" s="829" customFormat="1" ht="75" outlineLevel="1">
      <c r="B570" s="830"/>
      <c r="C570" s="830"/>
      <c r="D570" s="830" t="s">
        <v>774</v>
      </c>
      <c r="E570" s="851" t="s">
        <v>3196</v>
      </c>
      <c r="F570" s="10"/>
      <c r="G570" s="852"/>
      <c r="H570" s="11"/>
      <c r="I570" s="832" t="s">
        <v>3193</v>
      </c>
      <c r="J570" s="851" t="s">
        <v>2783</v>
      </c>
      <c r="K570" s="6" t="s">
        <v>2783</v>
      </c>
      <c r="L570" s="851">
        <v>0.10112755253077801</v>
      </c>
      <c r="M570" s="833" t="s">
        <v>2810</v>
      </c>
      <c r="N570" s="833" t="s">
        <v>2810</v>
      </c>
      <c r="O570" s="834"/>
      <c r="P570" s="835"/>
      <c r="Q570" s="6"/>
      <c r="R570" s="6"/>
      <c r="S570" s="6"/>
      <c r="T570" s="6"/>
      <c r="U570" s="831"/>
      <c r="V570" s="836"/>
    </row>
    <row r="571" spans="2:22" s="829" customFormat="1" ht="75" outlineLevel="1">
      <c r="B571" s="830"/>
      <c r="C571" s="830"/>
      <c r="D571" s="830" t="s">
        <v>774</v>
      </c>
      <c r="E571" s="851" t="s">
        <v>3196</v>
      </c>
      <c r="F571" s="10"/>
      <c r="G571" s="852"/>
      <c r="H571" s="11"/>
      <c r="I571" s="832" t="s">
        <v>3193</v>
      </c>
      <c r="J571" s="851" t="s">
        <v>2783</v>
      </c>
      <c r="K571" s="6" t="s">
        <v>2783</v>
      </c>
      <c r="L571" s="851">
        <v>9.8683673171137548E-2</v>
      </c>
      <c r="M571" s="833" t="s">
        <v>2810</v>
      </c>
      <c r="N571" s="833" t="s">
        <v>2810</v>
      </c>
      <c r="O571" s="834"/>
      <c r="P571" s="835"/>
      <c r="Q571" s="6"/>
      <c r="R571" s="6"/>
      <c r="S571" s="6"/>
      <c r="T571" s="6"/>
      <c r="U571" s="831"/>
      <c r="V571" s="836"/>
    </row>
    <row r="572" spans="2:22" s="829" customFormat="1" ht="75" outlineLevel="1">
      <c r="B572" s="830"/>
      <c r="C572" s="830"/>
      <c r="D572" s="830" t="s">
        <v>774</v>
      </c>
      <c r="E572" s="851" t="s">
        <v>3196</v>
      </c>
      <c r="F572" s="10"/>
      <c r="G572" s="852"/>
      <c r="H572" s="11"/>
      <c r="I572" s="832" t="s">
        <v>3193</v>
      </c>
      <c r="J572" s="851" t="s">
        <v>2783</v>
      </c>
      <c r="K572" s="6" t="s">
        <v>2783</v>
      </c>
      <c r="L572" s="851">
        <v>0.10205871336035847</v>
      </c>
      <c r="M572" s="833" t="s">
        <v>2810</v>
      </c>
      <c r="N572" s="833" t="s">
        <v>2810</v>
      </c>
      <c r="O572" s="834"/>
      <c r="P572" s="835"/>
      <c r="Q572" s="6"/>
      <c r="R572" s="6"/>
      <c r="S572" s="6"/>
      <c r="T572" s="6"/>
      <c r="U572" s="831"/>
      <c r="V572" s="836"/>
    </row>
    <row r="573" spans="2:22" s="829" customFormat="1" ht="75" outlineLevel="1">
      <c r="B573" s="830"/>
      <c r="C573" s="830"/>
      <c r="D573" s="830" t="s">
        <v>774</v>
      </c>
      <c r="E573" s="851" t="s">
        <v>3196</v>
      </c>
      <c r="F573" s="10"/>
      <c r="G573" s="852"/>
      <c r="H573" s="11"/>
      <c r="I573" s="832" t="s">
        <v>3193</v>
      </c>
      <c r="J573" s="851" t="s">
        <v>2783</v>
      </c>
      <c r="K573" s="6" t="s">
        <v>2783</v>
      </c>
      <c r="L573" s="851">
        <v>9.7484744016011246E-2</v>
      </c>
      <c r="M573" s="833" t="s">
        <v>2810</v>
      </c>
      <c r="N573" s="833" t="s">
        <v>2810</v>
      </c>
      <c r="O573" s="834"/>
      <c r="P573" s="835"/>
      <c r="Q573" s="6"/>
      <c r="R573" s="6"/>
      <c r="S573" s="6"/>
      <c r="T573" s="6"/>
      <c r="U573" s="831"/>
      <c r="V573" s="836"/>
    </row>
    <row r="574" spans="2:22" s="829" customFormat="1" ht="75" outlineLevel="1">
      <c r="B574" s="830"/>
      <c r="C574" s="830"/>
      <c r="D574" s="830" t="s">
        <v>774</v>
      </c>
      <c r="E574" s="851" t="s">
        <v>3196</v>
      </c>
      <c r="F574" s="10"/>
      <c r="G574" s="852"/>
      <c r="H574" s="11"/>
      <c r="I574" s="832" t="s">
        <v>3193</v>
      </c>
      <c r="J574" s="851" t="s">
        <v>2783</v>
      </c>
      <c r="K574" s="6" t="s">
        <v>2783</v>
      </c>
      <c r="L574" s="851">
        <v>9.4030388671923329E-2</v>
      </c>
      <c r="M574" s="833" t="s">
        <v>2810</v>
      </c>
      <c r="N574" s="833" t="s">
        <v>2810</v>
      </c>
      <c r="O574" s="834"/>
      <c r="P574" s="835"/>
      <c r="Q574" s="6"/>
      <c r="R574" s="6"/>
      <c r="S574" s="6"/>
      <c r="T574" s="6"/>
      <c r="U574" s="831"/>
      <c r="V574" s="836"/>
    </row>
    <row r="575" spans="2:22" s="829" customFormat="1" ht="75" outlineLevel="1">
      <c r="B575" s="830"/>
      <c r="C575" s="830"/>
      <c r="D575" s="830" t="s">
        <v>774</v>
      </c>
      <c r="E575" s="851" t="s">
        <v>3196</v>
      </c>
      <c r="F575" s="10"/>
      <c r="G575" s="852"/>
      <c r="H575" s="11"/>
      <c r="I575" s="832" t="s">
        <v>3193</v>
      </c>
      <c r="J575" s="851" t="s">
        <v>2783</v>
      </c>
      <c r="K575" s="6" t="s">
        <v>2783</v>
      </c>
      <c r="L575" s="851">
        <v>9.070043385622413E-2</v>
      </c>
      <c r="M575" s="833" t="s">
        <v>2810</v>
      </c>
      <c r="N575" s="833" t="s">
        <v>2810</v>
      </c>
      <c r="O575" s="834"/>
      <c r="P575" s="835"/>
      <c r="Q575" s="6"/>
      <c r="R575" s="6"/>
      <c r="S575" s="6"/>
      <c r="T575" s="6"/>
      <c r="U575" s="831"/>
      <c r="V575" s="836"/>
    </row>
    <row r="576" spans="2:22" s="829" customFormat="1" ht="75" outlineLevel="1">
      <c r="B576" s="830"/>
      <c r="C576" s="830"/>
      <c r="D576" s="830" t="s">
        <v>774</v>
      </c>
      <c r="E576" s="851" t="s">
        <v>3196</v>
      </c>
      <c r="F576" s="10"/>
      <c r="G576" s="852"/>
      <c r="H576" s="11"/>
      <c r="I576" s="832" t="s">
        <v>3193</v>
      </c>
      <c r="J576" s="851" t="s">
        <v>2783</v>
      </c>
      <c r="K576" s="6" t="s">
        <v>2783</v>
      </c>
      <c r="L576" s="851">
        <v>9.0292681852009268E-2</v>
      </c>
      <c r="M576" s="833" t="s">
        <v>2810</v>
      </c>
      <c r="N576" s="833" t="s">
        <v>2810</v>
      </c>
      <c r="O576" s="834"/>
      <c r="P576" s="835"/>
      <c r="Q576" s="6"/>
      <c r="R576" s="6"/>
      <c r="S576" s="6"/>
      <c r="T576" s="6"/>
      <c r="U576" s="831"/>
      <c r="V576" s="836"/>
    </row>
    <row r="577" spans="2:22" s="829" customFormat="1" ht="75" outlineLevel="1">
      <c r="B577" s="830"/>
      <c r="C577" s="830"/>
      <c r="D577" s="830" t="s">
        <v>774</v>
      </c>
      <c r="E577" s="851" t="s">
        <v>3196</v>
      </c>
      <c r="F577" s="10"/>
      <c r="G577" s="852"/>
      <c r="H577" s="11"/>
      <c r="I577" s="832" t="s">
        <v>3193</v>
      </c>
      <c r="J577" s="851" t="s">
        <v>2783</v>
      </c>
      <c r="K577" s="6" t="s">
        <v>2783</v>
      </c>
      <c r="L577" s="851">
        <v>9.5036584669414143E-2</v>
      </c>
      <c r="M577" s="833" t="s">
        <v>2810</v>
      </c>
      <c r="N577" s="833" t="s">
        <v>2810</v>
      </c>
      <c r="O577" s="834"/>
      <c r="P577" s="835"/>
      <c r="Q577" s="6"/>
      <c r="R577" s="6"/>
      <c r="S577" s="6"/>
      <c r="T577" s="6"/>
      <c r="U577" s="831"/>
      <c r="V577" s="836"/>
    </row>
    <row r="578" spans="2:22" s="829" customFormat="1" ht="75" outlineLevel="1">
      <c r="B578" s="830"/>
      <c r="C578" s="830"/>
      <c r="D578" s="830" t="s">
        <v>774</v>
      </c>
      <c r="E578" s="851" t="s">
        <v>3196</v>
      </c>
      <c r="F578" s="10"/>
      <c r="G578" s="852"/>
      <c r="H578" s="11"/>
      <c r="I578" s="832" t="s">
        <v>3193</v>
      </c>
      <c r="J578" s="851" t="s">
        <v>2783</v>
      </c>
      <c r="K578" s="6" t="s">
        <v>2783</v>
      </c>
      <c r="L578" s="851">
        <v>8.8457797833042154E-2</v>
      </c>
      <c r="M578" s="833" t="s">
        <v>2810</v>
      </c>
      <c r="N578" s="833" t="s">
        <v>2810</v>
      </c>
      <c r="O578" s="834"/>
      <c r="P578" s="835"/>
      <c r="Q578" s="6"/>
      <c r="R578" s="6"/>
      <c r="S578" s="6"/>
      <c r="T578" s="6"/>
      <c r="U578" s="831"/>
      <c r="V578" s="836"/>
    </row>
    <row r="579" spans="2:22" s="829" customFormat="1" ht="75" outlineLevel="1">
      <c r="B579" s="830"/>
      <c r="C579" s="830"/>
      <c r="D579" s="830" t="s">
        <v>774</v>
      </c>
      <c r="E579" s="851" t="s">
        <v>3196</v>
      </c>
      <c r="F579" s="10"/>
      <c r="G579" s="852"/>
      <c r="H579" s="11"/>
      <c r="I579" s="832" t="s">
        <v>3193</v>
      </c>
      <c r="J579" s="851" t="s">
        <v>2783</v>
      </c>
      <c r="K579" s="6" t="s">
        <v>2783</v>
      </c>
      <c r="L579" s="851">
        <v>8.4549862396604114E-2</v>
      </c>
      <c r="M579" s="833" t="s">
        <v>2810</v>
      </c>
      <c r="N579" s="833" t="s">
        <v>2810</v>
      </c>
      <c r="O579" s="834"/>
      <c r="P579" s="835"/>
      <c r="Q579" s="6"/>
      <c r="R579" s="6"/>
      <c r="S579" s="6"/>
      <c r="T579" s="6"/>
      <c r="U579" s="831"/>
      <c r="V579" s="836"/>
    </row>
    <row r="580" spans="2:22" s="829" customFormat="1" ht="60" outlineLevel="1">
      <c r="B580" s="830"/>
      <c r="C580" s="830"/>
      <c r="D580" s="830" t="s">
        <v>774</v>
      </c>
      <c r="E580" s="851" t="s">
        <v>3192</v>
      </c>
      <c r="F580" s="10"/>
      <c r="G580" s="852"/>
      <c r="H580" s="11"/>
      <c r="I580" s="832" t="s">
        <v>3193</v>
      </c>
      <c r="J580" s="851" t="s">
        <v>2783</v>
      </c>
      <c r="K580" s="6" t="s">
        <v>2783</v>
      </c>
      <c r="L580" s="851">
        <v>0.68418457138617428</v>
      </c>
      <c r="M580" s="833" t="s">
        <v>2810</v>
      </c>
      <c r="N580" s="833" t="s">
        <v>2810</v>
      </c>
      <c r="O580" s="834"/>
      <c r="P580" s="835"/>
      <c r="Q580" s="6"/>
      <c r="R580" s="6"/>
      <c r="S580" s="6"/>
      <c r="T580" s="6"/>
      <c r="U580" s="831"/>
      <c r="V580" s="836"/>
    </row>
    <row r="581" spans="2:22" s="829" customFormat="1" ht="60" outlineLevel="1">
      <c r="B581" s="830"/>
      <c r="C581" s="830"/>
      <c r="D581" s="830" t="s">
        <v>774</v>
      </c>
      <c r="E581" s="851" t="s">
        <v>3192</v>
      </c>
      <c r="F581" s="10"/>
      <c r="G581" s="852"/>
      <c r="H581" s="11"/>
      <c r="I581" s="832" t="s">
        <v>3193</v>
      </c>
      <c r="J581" s="851" t="s">
        <v>2783</v>
      </c>
      <c r="K581" s="6" t="s">
        <v>2783</v>
      </c>
      <c r="L581" s="851">
        <v>0.68418457138617428</v>
      </c>
      <c r="M581" s="833" t="s">
        <v>2810</v>
      </c>
      <c r="N581" s="833" t="s">
        <v>2810</v>
      </c>
      <c r="O581" s="834"/>
      <c r="P581" s="835"/>
      <c r="Q581" s="6"/>
      <c r="R581" s="6"/>
      <c r="S581" s="6"/>
      <c r="T581" s="6"/>
      <c r="U581" s="831"/>
      <c r="V581" s="836"/>
    </row>
    <row r="582" spans="2:22" s="829" customFormat="1" ht="60" outlineLevel="1">
      <c r="B582" s="830"/>
      <c r="C582" s="830"/>
      <c r="D582" s="830" t="s">
        <v>774</v>
      </c>
      <c r="E582" s="851" t="s">
        <v>3192</v>
      </c>
      <c r="F582" s="10"/>
      <c r="G582" s="852"/>
      <c r="H582" s="11"/>
      <c r="I582" s="832" t="s">
        <v>3193</v>
      </c>
      <c r="J582" s="851" t="s">
        <v>2783</v>
      </c>
      <c r="K582" s="6" t="s">
        <v>2783</v>
      </c>
      <c r="L582" s="851">
        <v>0.55375473670720443</v>
      </c>
      <c r="M582" s="833" t="s">
        <v>2810</v>
      </c>
      <c r="N582" s="833" t="s">
        <v>2810</v>
      </c>
      <c r="O582" s="834"/>
      <c r="P582" s="835"/>
      <c r="Q582" s="6"/>
      <c r="R582" s="6"/>
      <c r="S582" s="6"/>
      <c r="T582" s="6"/>
      <c r="U582" s="831"/>
      <c r="V582" s="836"/>
    </row>
    <row r="583" spans="2:22" s="829" customFormat="1" ht="60" outlineLevel="1">
      <c r="B583" s="830"/>
      <c r="C583" s="830"/>
      <c r="D583" s="830" t="s">
        <v>774</v>
      </c>
      <c r="E583" s="851" t="s">
        <v>3192</v>
      </c>
      <c r="F583" s="10"/>
      <c r="G583" s="852"/>
      <c r="H583" s="11"/>
      <c r="I583" s="832" t="s">
        <v>3193</v>
      </c>
      <c r="J583" s="851" t="s">
        <v>2783</v>
      </c>
      <c r="K583" s="6" t="s">
        <v>2783</v>
      </c>
      <c r="L583" s="851">
        <v>0.52565650188523994</v>
      </c>
      <c r="M583" s="833" t="s">
        <v>2810</v>
      </c>
      <c r="N583" s="833" t="s">
        <v>2810</v>
      </c>
      <c r="O583" s="834"/>
      <c r="P583" s="835"/>
      <c r="Q583" s="6"/>
      <c r="R583" s="6"/>
      <c r="S583" s="6"/>
      <c r="T583" s="6"/>
      <c r="U583" s="831"/>
      <c r="V583" s="836"/>
    </row>
    <row r="584" spans="2:22" s="829" customFormat="1" ht="60" outlineLevel="1">
      <c r="B584" s="830"/>
      <c r="C584" s="830"/>
      <c r="D584" s="830" t="s">
        <v>774</v>
      </c>
      <c r="E584" s="851" t="s">
        <v>3192</v>
      </c>
      <c r="F584" s="10"/>
      <c r="G584" s="852"/>
      <c r="H584" s="11"/>
      <c r="I584" s="832" t="s">
        <v>3193</v>
      </c>
      <c r="J584" s="851" t="s">
        <v>2783</v>
      </c>
      <c r="K584" s="6" t="s">
        <v>2783</v>
      </c>
      <c r="L584" s="851">
        <v>0.50326306346411986</v>
      </c>
      <c r="M584" s="833" t="s">
        <v>2810</v>
      </c>
      <c r="N584" s="833" t="s">
        <v>2810</v>
      </c>
      <c r="O584" s="834"/>
      <c r="P584" s="835"/>
      <c r="Q584" s="6"/>
      <c r="R584" s="6"/>
      <c r="S584" s="6"/>
      <c r="T584" s="6"/>
      <c r="U584" s="831"/>
      <c r="V584" s="836"/>
    </row>
    <row r="585" spans="2:22" s="829" customFormat="1" ht="60" outlineLevel="1">
      <c r="B585" s="830"/>
      <c r="C585" s="830"/>
      <c r="D585" s="830" t="s">
        <v>774</v>
      </c>
      <c r="E585" s="851" t="s">
        <v>3192</v>
      </c>
      <c r="F585" s="10"/>
      <c r="G585" s="852"/>
      <c r="H585" s="11"/>
      <c r="I585" s="832" t="s">
        <v>3193</v>
      </c>
      <c r="J585" s="851" t="s">
        <v>2783</v>
      </c>
      <c r="K585" s="6" t="s">
        <v>2783</v>
      </c>
      <c r="L585" s="851">
        <v>0.39652394962801091</v>
      </c>
      <c r="M585" s="833" t="s">
        <v>2810</v>
      </c>
      <c r="N585" s="833" t="s">
        <v>2810</v>
      </c>
      <c r="O585" s="834"/>
      <c r="P585" s="835"/>
      <c r="Q585" s="6"/>
      <c r="R585" s="6"/>
      <c r="S585" s="6"/>
      <c r="T585" s="6"/>
      <c r="U585" s="831"/>
      <c r="V585" s="836"/>
    </row>
    <row r="586" spans="2:22" s="829" customFormat="1" ht="60" outlineLevel="1">
      <c r="B586" s="830"/>
      <c r="C586" s="830"/>
      <c r="D586" s="830" t="s">
        <v>774</v>
      </c>
      <c r="E586" s="851" t="s">
        <v>3192</v>
      </c>
      <c r="F586" s="10"/>
      <c r="G586" s="852"/>
      <c r="H586" s="11"/>
      <c r="I586" s="832" t="s">
        <v>3193</v>
      </c>
      <c r="J586" s="851" t="s">
        <v>2783</v>
      </c>
      <c r="K586" s="6" t="s">
        <v>2783</v>
      </c>
      <c r="L586" s="851">
        <v>0.33431468868249054</v>
      </c>
      <c r="M586" s="833" t="s">
        <v>2810</v>
      </c>
      <c r="N586" s="833" t="s">
        <v>2810</v>
      </c>
      <c r="O586" s="834"/>
      <c r="P586" s="835"/>
      <c r="Q586" s="6"/>
      <c r="R586" s="6"/>
      <c r="S586" s="6"/>
      <c r="T586" s="6"/>
      <c r="U586" s="831"/>
      <c r="V586" s="836"/>
    </row>
    <row r="587" spans="2:22" s="829" customFormat="1" ht="60" outlineLevel="1">
      <c r="B587" s="830"/>
      <c r="C587" s="830"/>
      <c r="D587" s="830" t="s">
        <v>774</v>
      </c>
      <c r="E587" s="851" t="s">
        <v>3192</v>
      </c>
      <c r="F587" s="10"/>
      <c r="G587" s="852"/>
      <c r="H587" s="11"/>
      <c r="I587" s="832" t="s">
        <v>3193</v>
      </c>
      <c r="J587" s="851" t="s">
        <v>2783</v>
      </c>
      <c r="K587" s="6" t="s">
        <v>2783</v>
      </c>
      <c r="L587" s="851">
        <v>0.32986652405716321</v>
      </c>
      <c r="M587" s="833" t="s">
        <v>2810</v>
      </c>
      <c r="N587" s="833" t="s">
        <v>2810</v>
      </c>
      <c r="O587" s="834"/>
      <c r="P587" s="835"/>
      <c r="Q587" s="6"/>
      <c r="R587" s="6"/>
      <c r="S587" s="6"/>
      <c r="T587" s="6"/>
      <c r="U587" s="831"/>
      <c r="V587" s="836"/>
    </row>
    <row r="588" spans="2:22" s="829" customFormat="1" ht="60" outlineLevel="1">
      <c r="B588" s="830"/>
      <c r="C588" s="830"/>
      <c r="D588" s="830" t="s">
        <v>774</v>
      </c>
      <c r="E588" s="851" t="s">
        <v>3192</v>
      </c>
      <c r="F588" s="10"/>
      <c r="G588" s="852"/>
      <c r="H588" s="11"/>
      <c r="I588" s="832" t="s">
        <v>3193</v>
      </c>
      <c r="J588" s="851" t="s">
        <v>2783</v>
      </c>
      <c r="K588" s="6" t="s">
        <v>2783</v>
      </c>
      <c r="L588" s="851">
        <v>0.29074477427709994</v>
      </c>
      <c r="M588" s="833" t="s">
        <v>2810</v>
      </c>
      <c r="N588" s="833" t="s">
        <v>2810</v>
      </c>
      <c r="O588" s="834"/>
      <c r="P588" s="835"/>
      <c r="Q588" s="6"/>
      <c r="R588" s="6"/>
      <c r="S588" s="6"/>
      <c r="T588" s="6"/>
      <c r="U588" s="831"/>
      <c r="V588" s="836"/>
    </row>
    <row r="589" spans="2:22" s="829" customFormat="1" ht="60" outlineLevel="1">
      <c r="B589" s="830"/>
      <c r="C589" s="830"/>
      <c r="D589" s="830" t="s">
        <v>774</v>
      </c>
      <c r="E589" s="851" t="s">
        <v>3192</v>
      </c>
      <c r="F589" s="10"/>
      <c r="G589" s="852"/>
      <c r="H589" s="11"/>
      <c r="I589" s="832" t="s">
        <v>3193</v>
      </c>
      <c r="J589" s="851" t="s">
        <v>2783</v>
      </c>
      <c r="K589" s="6" t="s">
        <v>2783</v>
      </c>
      <c r="L589" s="851">
        <v>0.28843438083867878</v>
      </c>
      <c r="M589" s="833" t="s">
        <v>2810</v>
      </c>
      <c r="N589" s="833" t="s">
        <v>2810</v>
      </c>
      <c r="O589" s="834"/>
      <c r="P589" s="835"/>
      <c r="Q589" s="6"/>
      <c r="R589" s="6"/>
      <c r="S589" s="6"/>
      <c r="T589" s="6"/>
      <c r="U589" s="831"/>
      <c r="V589" s="836"/>
    </row>
    <row r="590" spans="2:22" s="829" customFormat="1" ht="60" outlineLevel="1">
      <c r="B590" s="830"/>
      <c r="C590" s="830"/>
      <c r="D590" s="830" t="s">
        <v>774</v>
      </c>
      <c r="E590" s="851" t="s">
        <v>3192</v>
      </c>
      <c r="F590" s="10"/>
      <c r="G590" s="852"/>
      <c r="H590" s="11"/>
      <c r="I590" s="832" t="s">
        <v>3193</v>
      </c>
      <c r="J590" s="851" t="s">
        <v>2783</v>
      </c>
      <c r="K590" s="6" t="s">
        <v>2783</v>
      </c>
      <c r="L590" s="851">
        <v>0.26139052205677593</v>
      </c>
      <c r="M590" s="833" t="s">
        <v>2810</v>
      </c>
      <c r="N590" s="833" t="s">
        <v>2810</v>
      </c>
      <c r="O590" s="834"/>
      <c r="P590" s="835"/>
      <c r="Q590" s="6"/>
      <c r="R590" s="6"/>
      <c r="S590" s="6"/>
      <c r="T590" s="6"/>
      <c r="U590" s="831"/>
      <c r="V590" s="836"/>
    </row>
    <row r="591" spans="2:22" s="829" customFormat="1" ht="60" outlineLevel="1">
      <c r="B591" s="830"/>
      <c r="C591" s="830"/>
      <c r="D591" s="830" t="s">
        <v>774</v>
      </c>
      <c r="E591" s="851" t="s">
        <v>3192</v>
      </c>
      <c r="F591" s="10"/>
      <c r="G591" s="852"/>
      <c r="H591" s="11"/>
      <c r="I591" s="832" t="s">
        <v>3193</v>
      </c>
      <c r="J591" s="851" t="s">
        <v>2783</v>
      </c>
      <c r="K591" s="6" t="s">
        <v>2783</v>
      </c>
      <c r="L591" s="851">
        <v>0.24014794579682577</v>
      </c>
      <c r="M591" s="833" t="s">
        <v>2810</v>
      </c>
      <c r="N591" s="833" t="s">
        <v>2810</v>
      </c>
      <c r="O591" s="834"/>
      <c r="P591" s="835"/>
      <c r="Q591" s="6"/>
      <c r="R591" s="6"/>
      <c r="S591" s="6"/>
      <c r="T591" s="6"/>
      <c r="U591" s="831"/>
      <c r="V591" s="836"/>
    </row>
    <row r="592" spans="2:22" s="829" customFormat="1" ht="60" outlineLevel="1">
      <c r="B592" s="830"/>
      <c r="C592" s="830"/>
      <c r="D592" s="830" t="s">
        <v>774</v>
      </c>
      <c r="E592" s="851" t="s">
        <v>3192</v>
      </c>
      <c r="F592" s="10"/>
      <c r="G592" s="852"/>
      <c r="H592" s="11"/>
      <c r="I592" s="832" t="s">
        <v>3193</v>
      </c>
      <c r="J592" s="851" t="s">
        <v>2783</v>
      </c>
      <c r="K592" s="6" t="s">
        <v>2783</v>
      </c>
      <c r="L592" s="851">
        <v>0.21245570982434944</v>
      </c>
      <c r="M592" s="833" t="s">
        <v>2810</v>
      </c>
      <c r="N592" s="833" t="s">
        <v>2810</v>
      </c>
      <c r="O592" s="834"/>
      <c r="P592" s="835"/>
      <c r="Q592" s="6"/>
      <c r="R592" s="6"/>
      <c r="S592" s="6"/>
      <c r="T592" s="6"/>
      <c r="U592" s="831"/>
      <c r="V592" s="836"/>
    </row>
    <row r="593" spans="2:22" s="829" customFormat="1" ht="60" outlineLevel="1">
      <c r="B593" s="830"/>
      <c r="C593" s="830"/>
      <c r="D593" s="830" t="s">
        <v>774</v>
      </c>
      <c r="E593" s="851" t="s">
        <v>3192</v>
      </c>
      <c r="F593" s="10"/>
      <c r="G593" s="852"/>
      <c r="H593" s="11"/>
      <c r="I593" s="832" t="s">
        <v>3193</v>
      </c>
      <c r="J593" s="851" t="s">
        <v>2783</v>
      </c>
      <c r="K593" s="6" t="s">
        <v>2783</v>
      </c>
      <c r="L593" s="851">
        <v>0.20192535688947999</v>
      </c>
      <c r="M593" s="833" t="s">
        <v>2810</v>
      </c>
      <c r="N593" s="833" t="s">
        <v>2810</v>
      </c>
      <c r="O593" s="834"/>
      <c r="P593" s="835"/>
      <c r="Q593" s="6"/>
      <c r="R593" s="6"/>
      <c r="S593" s="6"/>
      <c r="T593" s="6"/>
      <c r="U593" s="831"/>
      <c r="V593" s="836"/>
    </row>
    <row r="594" spans="2:22" s="829" customFormat="1" ht="60" outlineLevel="1">
      <c r="B594" s="830"/>
      <c r="C594" s="830"/>
      <c r="D594" s="830" t="s">
        <v>774</v>
      </c>
      <c r="E594" s="851" t="s">
        <v>3192</v>
      </c>
      <c r="F594" s="10"/>
      <c r="G594" s="852"/>
      <c r="H594" s="11"/>
      <c r="I594" s="832" t="s">
        <v>3193</v>
      </c>
      <c r="J594" s="851" t="s">
        <v>2783</v>
      </c>
      <c r="K594" s="6" t="s">
        <v>2783</v>
      </c>
      <c r="L594" s="851">
        <v>0.19328335705340507</v>
      </c>
      <c r="M594" s="833" t="s">
        <v>2810</v>
      </c>
      <c r="N594" s="833" t="s">
        <v>2810</v>
      </c>
      <c r="O594" s="834"/>
      <c r="P594" s="835"/>
      <c r="Q594" s="6"/>
      <c r="R594" s="6"/>
      <c r="S594" s="6"/>
      <c r="T594" s="6"/>
      <c r="U594" s="831"/>
      <c r="V594" s="836"/>
    </row>
    <row r="595" spans="2:22" s="829" customFormat="1" ht="60" outlineLevel="1">
      <c r="B595" s="830"/>
      <c r="C595" s="830"/>
      <c r="D595" s="830" t="s">
        <v>774</v>
      </c>
      <c r="E595" s="851" t="s">
        <v>3192</v>
      </c>
      <c r="F595" s="10"/>
      <c r="G595" s="852"/>
      <c r="H595" s="11"/>
      <c r="I595" s="832" t="s">
        <v>3193</v>
      </c>
      <c r="J595" s="851" t="s">
        <v>2783</v>
      </c>
      <c r="K595" s="6" t="s">
        <v>2783</v>
      </c>
      <c r="L595" s="851">
        <v>0.18605702426296125</v>
      </c>
      <c r="M595" s="833" t="s">
        <v>2810</v>
      </c>
      <c r="N595" s="833" t="s">
        <v>2810</v>
      </c>
      <c r="O595" s="834"/>
      <c r="P595" s="835"/>
      <c r="Q595" s="6"/>
      <c r="R595" s="6"/>
      <c r="S595" s="6"/>
      <c r="T595" s="6"/>
      <c r="U595" s="831"/>
      <c r="V595" s="836"/>
    </row>
    <row r="596" spans="2:22" s="829" customFormat="1" ht="60" outlineLevel="1">
      <c r="B596" s="830"/>
      <c r="C596" s="830"/>
      <c r="D596" s="830" t="s">
        <v>774</v>
      </c>
      <c r="E596" s="851" t="s">
        <v>3192</v>
      </c>
      <c r="F596" s="10"/>
      <c r="G596" s="852"/>
      <c r="H596" s="11"/>
      <c r="I596" s="832" t="s">
        <v>3193</v>
      </c>
      <c r="J596" s="851" t="s">
        <v>2783</v>
      </c>
      <c r="K596" s="6" t="s">
        <v>2783</v>
      </c>
      <c r="L596" s="851">
        <v>0.15681541539353963</v>
      </c>
      <c r="M596" s="833" t="s">
        <v>2810</v>
      </c>
      <c r="N596" s="833" t="s">
        <v>2810</v>
      </c>
      <c r="O596" s="834"/>
      <c r="P596" s="835"/>
      <c r="Q596" s="6"/>
      <c r="R596" s="6"/>
      <c r="S596" s="6"/>
      <c r="T596" s="6"/>
      <c r="U596" s="831"/>
      <c r="V596" s="836"/>
    </row>
    <row r="597" spans="2:22" s="829" customFormat="1" ht="60" outlineLevel="1">
      <c r="B597" s="830"/>
      <c r="C597" s="830"/>
      <c r="D597" s="830" t="s">
        <v>774</v>
      </c>
      <c r="E597" s="851" t="s">
        <v>3192</v>
      </c>
      <c r="F597" s="10"/>
      <c r="G597" s="852"/>
      <c r="H597" s="11"/>
      <c r="I597" s="832" t="s">
        <v>3193</v>
      </c>
      <c r="J597" s="851" t="s">
        <v>2783</v>
      </c>
      <c r="K597" s="6" t="s">
        <v>2783</v>
      </c>
      <c r="L597" s="851">
        <v>0.14590490448343077</v>
      </c>
      <c r="M597" s="833" t="s">
        <v>2810</v>
      </c>
      <c r="N597" s="833" t="s">
        <v>2810</v>
      </c>
      <c r="O597" s="834"/>
      <c r="P597" s="835"/>
      <c r="Q597" s="6"/>
      <c r="R597" s="6"/>
      <c r="S597" s="6"/>
      <c r="T597" s="6"/>
      <c r="U597" s="831"/>
      <c r="V597" s="836"/>
    </row>
    <row r="598" spans="2:22" s="829" customFormat="1" ht="60" outlineLevel="1">
      <c r="B598" s="830"/>
      <c r="C598" s="830"/>
      <c r="D598" s="830" t="s">
        <v>774</v>
      </c>
      <c r="E598" s="851" t="s">
        <v>3192</v>
      </c>
      <c r="F598" s="10"/>
      <c r="G598" s="852"/>
      <c r="H598" s="11"/>
      <c r="I598" s="832" t="s">
        <v>3193</v>
      </c>
      <c r="J598" s="851" t="s">
        <v>2783</v>
      </c>
      <c r="K598" s="6" t="s">
        <v>2783</v>
      </c>
      <c r="L598" s="851">
        <v>0.15080795782099102</v>
      </c>
      <c r="M598" s="833" t="s">
        <v>2810</v>
      </c>
      <c r="N598" s="833" t="s">
        <v>2810</v>
      </c>
      <c r="O598" s="834"/>
      <c r="P598" s="835"/>
      <c r="Q598" s="6"/>
      <c r="R598" s="6"/>
      <c r="S598" s="6"/>
      <c r="T598" s="6"/>
      <c r="U598" s="831"/>
      <c r="V598" s="836"/>
    </row>
    <row r="599" spans="2:22" s="829" customFormat="1" ht="30" outlineLevel="1">
      <c r="B599" s="830"/>
      <c r="C599" s="830"/>
      <c r="D599" s="830" t="s">
        <v>774</v>
      </c>
      <c r="E599" s="859" t="s">
        <v>690</v>
      </c>
      <c r="F599" s="10"/>
      <c r="G599" s="852"/>
      <c r="H599" s="11"/>
      <c r="I599" s="832" t="s">
        <v>3193</v>
      </c>
      <c r="J599" s="851" t="s">
        <v>2783</v>
      </c>
      <c r="K599" s="6" t="s">
        <v>2783</v>
      </c>
      <c r="L599" s="851">
        <v>0.90600389863547759</v>
      </c>
      <c r="M599" s="833" t="s">
        <v>2810</v>
      </c>
      <c r="N599" s="833" t="s">
        <v>2810</v>
      </c>
      <c r="O599" s="834"/>
      <c r="P599" s="835"/>
      <c r="Q599" s="6"/>
      <c r="R599" s="6"/>
      <c r="S599" s="6"/>
      <c r="T599" s="6"/>
      <c r="U599" s="831"/>
      <c r="V599" s="836"/>
    </row>
    <row r="600" spans="2:22" s="829" customFormat="1" ht="30" outlineLevel="1">
      <c r="B600" s="830"/>
      <c r="C600" s="830"/>
      <c r="D600" s="830" t="s">
        <v>774</v>
      </c>
      <c r="E600" s="859" t="s">
        <v>690</v>
      </c>
      <c r="F600" s="10"/>
      <c r="G600" s="852"/>
      <c r="H600" s="11"/>
      <c r="I600" s="832" t="s">
        <v>3193</v>
      </c>
      <c r="J600" s="851" t="s">
        <v>2783</v>
      </c>
      <c r="K600" s="6" t="s">
        <v>2783</v>
      </c>
      <c r="L600" s="851">
        <v>0.90600389863547759</v>
      </c>
      <c r="M600" s="833" t="s">
        <v>2810</v>
      </c>
      <c r="N600" s="833" t="s">
        <v>2810</v>
      </c>
      <c r="O600" s="834"/>
      <c r="P600" s="835"/>
      <c r="Q600" s="6"/>
      <c r="R600" s="6"/>
      <c r="S600" s="6"/>
      <c r="T600" s="6"/>
      <c r="U600" s="831"/>
      <c r="V600" s="836"/>
    </row>
    <row r="601" spans="2:22" s="829" customFormat="1" ht="30" outlineLevel="1">
      <c r="B601" s="830"/>
      <c r="C601" s="830"/>
      <c r="D601" s="830" t="s">
        <v>774</v>
      </c>
      <c r="E601" s="859" t="s">
        <v>690</v>
      </c>
      <c r="F601" s="10"/>
      <c r="G601" s="852"/>
      <c r="H601" s="11"/>
      <c r="I601" s="832" t="s">
        <v>3193</v>
      </c>
      <c r="J601" s="851" t="s">
        <v>2783</v>
      </c>
      <c r="K601" s="6" t="s">
        <v>2783</v>
      </c>
      <c r="L601" s="851">
        <v>0.42763329893360852</v>
      </c>
      <c r="M601" s="833" t="s">
        <v>2810</v>
      </c>
      <c r="N601" s="833" t="s">
        <v>2810</v>
      </c>
      <c r="O601" s="834"/>
      <c r="P601" s="835"/>
      <c r="Q601" s="6"/>
      <c r="R601" s="6"/>
      <c r="S601" s="6"/>
      <c r="T601" s="6"/>
      <c r="U601" s="831"/>
      <c r="V601" s="836"/>
    </row>
    <row r="602" spans="2:22" s="829" customFormat="1" ht="30" outlineLevel="1">
      <c r="B602" s="830"/>
      <c r="C602" s="830"/>
      <c r="D602" s="830" t="s">
        <v>774</v>
      </c>
      <c r="E602" s="859" t="s">
        <v>690</v>
      </c>
      <c r="F602" s="10"/>
      <c r="G602" s="852"/>
      <c r="H602" s="11"/>
      <c r="I602" s="832" t="s">
        <v>3193</v>
      </c>
      <c r="J602" s="851" t="s">
        <v>2783</v>
      </c>
      <c r="K602" s="6" t="s">
        <v>2783</v>
      </c>
      <c r="L602" s="851">
        <v>0.38521499828001377</v>
      </c>
      <c r="M602" s="833" t="s">
        <v>2810</v>
      </c>
      <c r="N602" s="833" t="s">
        <v>2810</v>
      </c>
      <c r="O602" s="834"/>
      <c r="P602" s="835"/>
      <c r="Q602" s="6"/>
      <c r="R602" s="6"/>
      <c r="S602" s="6"/>
      <c r="T602" s="6"/>
      <c r="U602" s="831"/>
      <c r="V602" s="836"/>
    </row>
    <row r="603" spans="2:22" s="829" customFormat="1" ht="30" outlineLevel="1">
      <c r="B603" s="830"/>
      <c r="C603" s="830"/>
      <c r="D603" s="830" t="s">
        <v>774</v>
      </c>
      <c r="E603" s="859" t="s">
        <v>690</v>
      </c>
      <c r="F603" s="10"/>
      <c r="G603" s="852"/>
      <c r="H603" s="11"/>
      <c r="I603" s="832" t="s">
        <v>3193</v>
      </c>
      <c r="J603" s="851" t="s">
        <v>2783</v>
      </c>
      <c r="K603" s="6" t="s">
        <v>2783</v>
      </c>
      <c r="L603" s="851">
        <v>0.36400584795321633</v>
      </c>
      <c r="M603" s="833" t="s">
        <v>2810</v>
      </c>
      <c r="N603" s="833" t="s">
        <v>2810</v>
      </c>
      <c r="O603" s="834"/>
      <c r="P603" s="835"/>
      <c r="Q603" s="6"/>
      <c r="R603" s="6"/>
      <c r="S603" s="6"/>
      <c r="T603" s="6"/>
      <c r="U603" s="831"/>
      <c r="V603" s="836"/>
    </row>
    <row r="604" spans="2:22" s="829" customFormat="1" ht="30" outlineLevel="1">
      <c r="B604" s="830"/>
      <c r="C604" s="830"/>
      <c r="D604" s="830" t="s">
        <v>774</v>
      </c>
      <c r="E604" s="859" t="s">
        <v>690</v>
      </c>
      <c r="F604" s="10"/>
      <c r="G604" s="852"/>
      <c r="H604" s="11"/>
      <c r="I604" s="832" t="s">
        <v>3193</v>
      </c>
      <c r="J604" s="851" t="s">
        <v>2783</v>
      </c>
      <c r="K604" s="6" t="s">
        <v>2783</v>
      </c>
      <c r="L604" s="851">
        <v>0.2771873256125062</v>
      </c>
      <c r="M604" s="833" t="s">
        <v>2810</v>
      </c>
      <c r="N604" s="833" t="s">
        <v>2810</v>
      </c>
      <c r="O604" s="834"/>
      <c r="P604" s="835"/>
      <c r="Q604" s="6"/>
      <c r="R604" s="6"/>
      <c r="S604" s="6"/>
      <c r="T604" s="6"/>
      <c r="U604" s="831"/>
      <c r="V604" s="836"/>
    </row>
    <row r="605" spans="2:22" s="829" customFormat="1" ht="30" outlineLevel="1">
      <c r="B605" s="830"/>
      <c r="C605" s="830"/>
      <c r="D605" s="830" t="s">
        <v>774</v>
      </c>
      <c r="E605" s="859" t="s">
        <v>690</v>
      </c>
      <c r="F605" s="10"/>
      <c r="G605" s="852"/>
      <c r="H605" s="11"/>
      <c r="I605" s="832" t="s">
        <v>3193</v>
      </c>
      <c r="J605" s="851" t="s">
        <v>2783</v>
      </c>
      <c r="K605" s="6" t="s">
        <v>2783</v>
      </c>
      <c r="L605" s="851">
        <v>0.27049306272216495</v>
      </c>
      <c r="M605" s="833" t="s">
        <v>2810</v>
      </c>
      <c r="N605" s="833" t="s">
        <v>2810</v>
      </c>
      <c r="O605" s="834"/>
      <c r="P605" s="835"/>
      <c r="Q605" s="6"/>
      <c r="R605" s="6"/>
      <c r="S605" s="6"/>
      <c r="T605" s="6"/>
      <c r="U605" s="831"/>
      <c r="V605" s="836"/>
    </row>
    <row r="606" spans="2:22" s="829" customFormat="1" ht="30" outlineLevel="1">
      <c r="B606" s="830"/>
      <c r="C606" s="830"/>
      <c r="D606" s="830" t="s">
        <v>774</v>
      </c>
      <c r="E606" s="859" t="s">
        <v>690</v>
      </c>
      <c r="F606" s="10"/>
      <c r="G606" s="852"/>
      <c r="H606" s="11"/>
      <c r="I606" s="832" t="s">
        <v>3193</v>
      </c>
      <c r="J606" s="851" t="s">
        <v>2783</v>
      </c>
      <c r="K606" s="6" t="s">
        <v>2783</v>
      </c>
      <c r="L606" s="851">
        <v>0.23019869936278603</v>
      </c>
      <c r="M606" s="833" t="s">
        <v>2810</v>
      </c>
      <c r="N606" s="833" t="s">
        <v>2810</v>
      </c>
      <c r="O606" s="834"/>
      <c r="P606" s="835"/>
      <c r="Q606" s="6"/>
      <c r="R606" s="6"/>
      <c r="S606" s="6"/>
      <c r="T606" s="6"/>
      <c r="U606" s="831"/>
      <c r="V606" s="836"/>
    </row>
    <row r="607" spans="2:22" s="829" customFormat="1" ht="30" outlineLevel="1">
      <c r="B607" s="830"/>
      <c r="C607" s="830"/>
      <c r="D607" s="830" t="s">
        <v>774</v>
      </c>
      <c r="E607" s="859" t="s">
        <v>690</v>
      </c>
      <c r="F607" s="10"/>
      <c r="G607" s="852"/>
      <c r="H607" s="11"/>
      <c r="I607" s="832" t="s">
        <v>3193</v>
      </c>
      <c r="J607" s="851" t="s">
        <v>2783</v>
      </c>
      <c r="K607" s="6" t="s">
        <v>2783</v>
      </c>
      <c r="L607" s="851">
        <v>0.22709178993234719</v>
      </c>
      <c r="M607" s="833" t="s">
        <v>2810</v>
      </c>
      <c r="N607" s="833" t="s">
        <v>2810</v>
      </c>
      <c r="O607" s="834"/>
      <c r="P607" s="835"/>
      <c r="Q607" s="6"/>
      <c r="R607" s="6"/>
      <c r="S607" s="6"/>
      <c r="T607" s="6"/>
      <c r="U607" s="831"/>
      <c r="V607" s="836"/>
    </row>
    <row r="608" spans="2:22" s="829" customFormat="1" ht="30" outlineLevel="1">
      <c r="B608" s="830"/>
      <c r="C608" s="830"/>
      <c r="D608" s="830" t="s">
        <v>774</v>
      </c>
      <c r="E608" s="859" t="s">
        <v>690</v>
      </c>
      <c r="F608" s="10"/>
      <c r="G608" s="852"/>
      <c r="H608" s="11"/>
      <c r="I608" s="832" t="s">
        <v>3193</v>
      </c>
      <c r="J608" s="851" t="s">
        <v>2783</v>
      </c>
      <c r="K608" s="6" t="s">
        <v>2783</v>
      </c>
      <c r="L608" s="851">
        <v>0.20387891296869623</v>
      </c>
      <c r="M608" s="833" t="s">
        <v>2810</v>
      </c>
      <c r="N608" s="833" t="s">
        <v>2810</v>
      </c>
      <c r="O608" s="834"/>
      <c r="P608" s="835"/>
      <c r="Q608" s="6"/>
      <c r="R608" s="6"/>
      <c r="S608" s="6"/>
      <c r="T608" s="6"/>
      <c r="U608" s="831"/>
      <c r="V608" s="836"/>
    </row>
    <row r="609" spans="2:22" s="829" customFormat="1" ht="30" outlineLevel="1">
      <c r="B609" s="830"/>
      <c r="C609" s="830"/>
      <c r="D609" s="830" t="s">
        <v>774</v>
      </c>
      <c r="E609" s="859" t="s">
        <v>690</v>
      </c>
      <c r="F609" s="10"/>
      <c r="G609" s="852"/>
      <c r="H609" s="11"/>
      <c r="I609" s="832" t="s">
        <v>3193</v>
      </c>
      <c r="J609" s="851" t="s">
        <v>2783</v>
      </c>
      <c r="K609" s="6" t="s">
        <v>2783</v>
      </c>
      <c r="L609" s="851">
        <v>0.20212466460268316</v>
      </c>
      <c r="M609" s="833" t="s">
        <v>2810</v>
      </c>
      <c r="N609" s="833" t="s">
        <v>2810</v>
      </c>
      <c r="O609" s="834"/>
      <c r="P609" s="835"/>
      <c r="Q609" s="6"/>
      <c r="R609" s="6"/>
      <c r="S609" s="6"/>
      <c r="T609" s="6"/>
      <c r="U609" s="831"/>
      <c r="V609" s="836"/>
    </row>
    <row r="610" spans="2:22" s="829" customFormat="1" ht="30" outlineLevel="1">
      <c r="B610" s="830"/>
      <c r="C610" s="830"/>
      <c r="D610" s="830" t="s">
        <v>774</v>
      </c>
      <c r="E610" s="859" t="s">
        <v>690</v>
      </c>
      <c r="F610" s="10"/>
      <c r="G610" s="852"/>
      <c r="H610" s="11"/>
      <c r="I610" s="832" t="s">
        <v>3193</v>
      </c>
      <c r="J610" s="851" t="s">
        <v>2783</v>
      </c>
      <c r="K610" s="6" t="s">
        <v>2783</v>
      </c>
      <c r="L610" s="851">
        <v>0.18592726369300158</v>
      </c>
      <c r="M610" s="833" t="s">
        <v>2810</v>
      </c>
      <c r="N610" s="833" t="s">
        <v>2810</v>
      </c>
      <c r="O610" s="834"/>
      <c r="P610" s="835"/>
      <c r="Q610" s="6"/>
      <c r="R610" s="6"/>
      <c r="S610" s="6"/>
      <c r="T610" s="6"/>
      <c r="U610" s="831"/>
      <c r="V610" s="836"/>
    </row>
    <row r="611" spans="2:22" s="829" customFormat="1" ht="30" outlineLevel="1">
      <c r="B611" s="830"/>
      <c r="C611" s="830"/>
      <c r="D611" s="830" t="s">
        <v>774</v>
      </c>
      <c r="E611" s="859" t="s">
        <v>690</v>
      </c>
      <c r="F611" s="10"/>
      <c r="G611" s="852"/>
      <c r="H611" s="11"/>
      <c r="I611" s="832" t="s">
        <v>3193</v>
      </c>
      <c r="J611" s="851" t="s">
        <v>2783</v>
      </c>
      <c r="K611" s="6" t="s">
        <v>2783</v>
      </c>
      <c r="L611" s="851">
        <v>0.17457680148082624</v>
      </c>
      <c r="M611" s="833" t="s">
        <v>2810</v>
      </c>
      <c r="N611" s="833" t="s">
        <v>2810</v>
      </c>
      <c r="O611" s="834"/>
      <c r="P611" s="835"/>
      <c r="Q611" s="6"/>
      <c r="R611" s="6"/>
      <c r="S611" s="6"/>
      <c r="T611" s="6"/>
      <c r="U611" s="831"/>
      <c r="V611" s="836"/>
    </row>
    <row r="612" spans="2:22" s="829" customFormat="1" ht="30" outlineLevel="1">
      <c r="B612" s="830"/>
      <c r="C612" s="830"/>
      <c r="D612" s="830" t="s">
        <v>774</v>
      </c>
      <c r="E612" s="859" t="s">
        <v>690</v>
      </c>
      <c r="F612" s="10"/>
      <c r="G612" s="852"/>
      <c r="H612" s="11"/>
      <c r="I612" s="832" t="s">
        <v>3193</v>
      </c>
      <c r="J612" s="851" t="s">
        <v>2783</v>
      </c>
      <c r="K612" s="6" t="s">
        <v>2783</v>
      </c>
      <c r="L612" s="851">
        <v>0.16618378052975577</v>
      </c>
      <c r="M612" s="833" t="s">
        <v>2810</v>
      </c>
      <c r="N612" s="833" t="s">
        <v>2810</v>
      </c>
      <c r="O612" s="834"/>
      <c r="P612" s="835"/>
      <c r="Q612" s="6"/>
      <c r="R612" s="6"/>
      <c r="S612" s="6"/>
      <c r="T612" s="6"/>
      <c r="U612" s="831"/>
      <c r="V612" s="836"/>
    </row>
    <row r="613" spans="2:22" s="829" customFormat="1" ht="30" outlineLevel="1">
      <c r="B613" s="830"/>
      <c r="C613" s="830"/>
      <c r="D613" s="830" t="s">
        <v>774</v>
      </c>
      <c r="E613" s="859" t="s">
        <v>690</v>
      </c>
      <c r="F613" s="10"/>
      <c r="G613" s="852"/>
      <c r="H613" s="11"/>
      <c r="I613" s="832" t="s">
        <v>3193</v>
      </c>
      <c r="J613" s="851" t="s">
        <v>2783</v>
      </c>
      <c r="K613" s="6" t="s">
        <v>2783</v>
      </c>
      <c r="L613" s="851">
        <v>0.15972688317258893</v>
      </c>
      <c r="M613" s="833" t="s">
        <v>2810</v>
      </c>
      <c r="N613" s="833" t="s">
        <v>2810</v>
      </c>
      <c r="O613" s="834"/>
      <c r="P613" s="835"/>
      <c r="Q613" s="6"/>
      <c r="R613" s="6"/>
      <c r="S613" s="6"/>
      <c r="T613" s="6"/>
      <c r="U613" s="831"/>
      <c r="V613" s="836"/>
    </row>
    <row r="614" spans="2:22" s="829" customFormat="1" ht="30" outlineLevel="1">
      <c r="B614" s="830"/>
      <c r="C614" s="830"/>
      <c r="D614" s="830" t="s">
        <v>774</v>
      </c>
      <c r="E614" s="859" t="s">
        <v>690</v>
      </c>
      <c r="F614" s="10"/>
      <c r="G614" s="852"/>
      <c r="H614" s="11"/>
      <c r="I614" s="832" t="s">
        <v>3193</v>
      </c>
      <c r="J614" s="851" t="s">
        <v>2783</v>
      </c>
      <c r="K614" s="6" t="s">
        <v>2783</v>
      </c>
      <c r="L614" s="851">
        <v>0.15460610021786492</v>
      </c>
      <c r="M614" s="833" t="s">
        <v>2810</v>
      </c>
      <c r="N614" s="833" t="s">
        <v>2810</v>
      </c>
      <c r="O614" s="834"/>
      <c r="P614" s="835"/>
      <c r="Q614" s="6"/>
      <c r="R614" s="6"/>
      <c r="S614" s="6"/>
      <c r="T614" s="6"/>
      <c r="U614" s="831"/>
      <c r="V614" s="836"/>
    </row>
    <row r="615" spans="2:22" s="829" customFormat="1" ht="30" outlineLevel="1">
      <c r="B615" s="830"/>
      <c r="C615" s="830"/>
      <c r="D615" s="830" t="s">
        <v>774</v>
      </c>
      <c r="E615" s="859" t="s">
        <v>690</v>
      </c>
      <c r="F615" s="10"/>
      <c r="G615" s="852"/>
      <c r="H615" s="11"/>
      <c r="I615" s="832" t="s">
        <v>3193</v>
      </c>
      <c r="J615" s="851" t="s">
        <v>2783</v>
      </c>
      <c r="K615" s="6" t="s">
        <v>2783</v>
      </c>
      <c r="L615" s="851">
        <v>0.16926338722623552</v>
      </c>
      <c r="M615" s="833" t="s">
        <v>2810</v>
      </c>
      <c r="N615" s="833" t="s">
        <v>2810</v>
      </c>
      <c r="O615" s="834"/>
      <c r="P615" s="835"/>
      <c r="Q615" s="6"/>
      <c r="R615" s="6"/>
      <c r="S615" s="6"/>
      <c r="T615" s="6"/>
      <c r="U615" s="831"/>
      <c r="V615" s="836"/>
    </row>
    <row r="616" spans="2:22" s="829" customFormat="1" ht="30" outlineLevel="1">
      <c r="B616" s="830"/>
      <c r="C616" s="830"/>
      <c r="D616" s="830" t="s">
        <v>774</v>
      </c>
      <c r="E616" s="859" t="s">
        <v>690</v>
      </c>
      <c r="F616" s="10"/>
      <c r="G616" s="852"/>
      <c r="H616" s="11"/>
      <c r="I616" s="832" t="s">
        <v>3193</v>
      </c>
      <c r="J616" s="851" t="s">
        <v>2783</v>
      </c>
      <c r="K616" s="6" t="s">
        <v>2783</v>
      </c>
      <c r="L616" s="851">
        <v>0.15577751659468209</v>
      </c>
      <c r="M616" s="833" t="s">
        <v>2810</v>
      </c>
      <c r="N616" s="833" t="s">
        <v>2810</v>
      </c>
      <c r="O616" s="834"/>
      <c r="P616" s="835"/>
      <c r="Q616" s="6"/>
      <c r="R616" s="6"/>
      <c r="S616" s="6"/>
      <c r="T616" s="6"/>
      <c r="U616" s="831"/>
      <c r="V616" s="836"/>
    </row>
    <row r="617" spans="2:22" s="829" customFormat="1" ht="30" outlineLevel="1">
      <c r="B617" s="830"/>
      <c r="C617" s="830"/>
      <c r="D617" s="830" t="s">
        <v>774</v>
      </c>
      <c r="E617" s="859" t="s">
        <v>690</v>
      </c>
      <c r="F617" s="10"/>
      <c r="G617" s="852"/>
      <c r="H617" s="11"/>
      <c r="I617" s="832" t="s">
        <v>3193</v>
      </c>
      <c r="J617" s="851" t="s">
        <v>2783</v>
      </c>
      <c r="K617" s="6" t="s">
        <v>2783</v>
      </c>
      <c r="L617" s="851">
        <v>0.16050044719642248</v>
      </c>
      <c r="M617" s="833" t="s">
        <v>2810</v>
      </c>
      <c r="N617" s="833" t="s">
        <v>2810</v>
      </c>
      <c r="O617" s="834"/>
      <c r="P617" s="835"/>
      <c r="Q617" s="6"/>
      <c r="R617" s="6"/>
      <c r="S617" s="6"/>
      <c r="T617" s="6"/>
      <c r="U617" s="831"/>
      <c r="V617" s="836"/>
    </row>
    <row r="618" spans="2:22" s="816" customFormat="1" ht="15.75" customHeight="1">
      <c r="B618" s="827"/>
      <c r="C618" s="827" t="s">
        <v>3197</v>
      </c>
      <c r="D618" s="827"/>
      <c r="E618" s="827"/>
      <c r="F618" s="827"/>
      <c r="G618" s="827"/>
      <c r="H618" s="827"/>
      <c r="I618" s="827"/>
      <c r="J618" s="827"/>
      <c r="K618" s="827"/>
      <c r="L618" s="827"/>
      <c r="M618" s="827"/>
      <c r="N618" s="827"/>
      <c r="O618" s="847"/>
      <c r="P618" s="847"/>
      <c r="Q618" s="847"/>
      <c r="R618" s="847"/>
      <c r="S618" s="847"/>
      <c r="T618" s="847"/>
      <c r="U618" s="847"/>
      <c r="V618" s="847"/>
    </row>
    <row r="619" spans="2:22" s="829" customFormat="1" ht="156.6" customHeight="1">
      <c r="B619" s="830"/>
      <c r="C619" s="830"/>
      <c r="D619" s="830"/>
      <c r="E619" s="859"/>
      <c r="F619" s="10"/>
      <c r="G619" s="10" t="s">
        <v>3198</v>
      </c>
      <c r="H619" s="11"/>
      <c r="I619" s="859"/>
      <c r="J619" s="859" t="s">
        <v>2783</v>
      </c>
      <c r="K619" s="6" t="s">
        <v>2783</v>
      </c>
      <c r="L619" s="859">
        <v>32862.471978142385</v>
      </c>
      <c r="M619" s="833" t="s">
        <v>2810</v>
      </c>
      <c r="N619" s="833" t="s">
        <v>2810</v>
      </c>
      <c r="O619" s="834"/>
      <c r="P619" s="835"/>
      <c r="Q619" s="6"/>
      <c r="R619" s="6"/>
      <c r="S619" s="6"/>
      <c r="T619" s="6"/>
      <c r="U619" s="831"/>
      <c r="V619" s="836"/>
    </row>
    <row r="620" spans="2:22" s="829" customFormat="1" ht="156.6" customHeight="1">
      <c r="B620" s="830"/>
      <c r="C620" s="830">
        <v>8.01</v>
      </c>
      <c r="D620" s="830" t="s">
        <v>87</v>
      </c>
      <c r="E620" s="859" t="s">
        <v>87</v>
      </c>
      <c r="F620" s="10" t="s">
        <v>3199</v>
      </c>
      <c r="G620" s="10" t="s">
        <v>3200</v>
      </c>
      <c r="H620" s="11" t="s">
        <v>299</v>
      </c>
      <c r="I620" s="859" t="s">
        <v>299</v>
      </c>
      <c r="J620" s="859">
        <v>82000</v>
      </c>
      <c r="K620" s="6">
        <v>89603.614000000001</v>
      </c>
      <c r="L620" s="859">
        <v>140865.57449187711</v>
      </c>
      <c r="M620" s="833">
        <v>0.71787285965703795</v>
      </c>
      <c r="N620" s="833">
        <v>0.57209701934429902</v>
      </c>
      <c r="O620" s="834"/>
      <c r="P620" s="835" t="s">
        <v>2943</v>
      </c>
      <c r="Q620" s="6"/>
      <c r="R620" s="6"/>
      <c r="S620" s="6"/>
      <c r="T620" s="6"/>
      <c r="U620" s="831" t="s">
        <v>3201</v>
      </c>
      <c r="V620" s="836"/>
    </row>
    <row r="621" spans="2:22" s="829" customFormat="1" ht="120">
      <c r="B621" s="830"/>
      <c r="C621" s="830" t="s">
        <v>3202</v>
      </c>
      <c r="D621" s="830" t="s">
        <v>2924</v>
      </c>
      <c r="E621" s="859" t="s">
        <v>2924</v>
      </c>
      <c r="F621" s="10" t="s">
        <v>3203</v>
      </c>
      <c r="G621" s="10"/>
      <c r="H621" s="11" t="s">
        <v>2781</v>
      </c>
      <c r="I621" s="859"/>
      <c r="J621" s="6" t="s">
        <v>2783</v>
      </c>
      <c r="K621" s="6" t="s">
        <v>2986</v>
      </c>
      <c r="L621" s="7" t="s">
        <v>2950</v>
      </c>
      <c r="M621" s="833" t="s">
        <v>2810</v>
      </c>
      <c r="N621" s="833" t="s">
        <v>2951</v>
      </c>
      <c r="O621" s="834"/>
      <c r="P621" s="835"/>
      <c r="Q621" s="6"/>
      <c r="R621" s="6"/>
      <c r="S621" s="6"/>
      <c r="T621" s="6"/>
      <c r="U621" s="831" t="s">
        <v>3204</v>
      </c>
      <c r="V621" s="836"/>
    </row>
    <row r="622" spans="2:22" s="829" customFormat="1" ht="120">
      <c r="B622" s="830"/>
      <c r="C622" s="830" t="s">
        <v>3205</v>
      </c>
      <c r="D622" s="830" t="s">
        <v>2924</v>
      </c>
      <c r="E622" s="859" t="s">
        <v>2924</v>
      </c>
      <c r="F622" s="10" t="s">
        <v>3203</v>
      </c>
      <c r="G622" s="10"/>
      <c r="H622" s="11" t="s">
        <v>2781</v>
      </c>
      <c r="I622" s="859"/>
      <c r="J622" s="6" t="s">
        <v>2783</v>
      </c>
      <c r="K622" s="6" t="s">
        <v>2986</v>
      </c>
      <c r="L622" s="7" t="s">
        <v>2950</v>
      </c>
      <c r="M622" s="833" t="s">
        <v>2810</v>
      </c>
      <c r="N622" s="833" t="s">
        <v>2951</v>
      </c>
      <c r="O622" s="834"/>
      <c r="P622" s="835"/>
      <c r="Q622" s="6"/>
      <c r="R622" s="6"/>
      <c r="S622" s="6"/>
      <c r="T622" s="6"/>
      <c r="U622" s="831" t="s">
        <v>3204</v>
      </c>
      <c r="V622" s="836"/>
    </row>
    <row r="623" spans="2:22" s="829" customFormat="1" ht="409.5">
      <c r="B623" s="830"/>
      <c r="C623" s="830">
        <v>8.02</v>
      </c>
      <c r="D623" s="830" t="s">
        <v>87</v>
      </c>
      <c r="E623" s="859" t="s">
        <v>87</v>
      </c>
      <c r="F623" s="10" t="s">
        <v>3206</v>
      </c>
      <c r="G623" s="10" t="s">
        <v>3207</v>
      </c>
      <c r="H623" s="11" t="s">
        <v>299</v>
      </c>
      <c r="I623" s="859" t="s">
        <v>299</v>
      </c>
      <c r="J623" s="859">
        <v>146500</v>
      </c>
      <c r="K623" s="6">
        <v>160084.5055</v>
      </c>
      <c r="L623" s="859">
        <v>225586.61835558742</v>
      </c>
      <c r="M623" s="833">
        <v>0.53984039833165476</v>
      </c>
      <c r="N623" s="833">
        <v>0.4091720972682607</v>
      </c>
      <c r="O623" s="834"/>
      <c r="P623" s="835" t="s">
        <v>2943</v>
      </c>
      <c r="Q623" s="6"/>
      <c r="R623" s="6"/>
      <c r="S623" s="6"/>
      <c r="T623" s="6"/>
      <c r="U623" s="831" t="s">
        <v>3208</v>
      </c>
      <c r="V623" s="836"/>
    </row>
    <row r="624" spans="2:22" s="829" customFormat="1" ht="120">
      <c r="B624" s="830"/>
      <c r="C624" s="830" t="s">
        <v>3209</v>
      </c>
      <c r="D624" s="830" t="s">
        <v>2924</v>
      </c>
      <c r="E624" s="859" t="s">
        <v>2924</v>
      </c>
      <c r="F624" s="10" t="s">
        <v>3203</v>
      </c>
      <c r="G624" s="10"/>
      <c r="H624" s="11" t="s">
        <v>2781</v>
      </c>
      <c r="I624" s="859"/>
      <c r="J624" s="6" t="s">
        <v>2783</v>
      </c>
      <c r="K624" s="6" t="s">
        <v>2986</v>
      </c>
      <c r="L624" s="7" t="s">
        <v>2950</v>
      </c>
      <c r="M624" s="833" t="s">
        <v>2810</v>
      </c>
      <c r="N624" s="833" t="s">
        <v>2951</v>
      </c>
      <c r="O624" s="834"/>
      <c r="P624" s="835"/>
      <c r="Q624" s="6"/>
      <c r="R624" s="6"/>
      <c r="S624" s="6"/>
      <c r="T624" s="6"/>
      <c r="U624" s="831" t="s">
        <v>3204</v>
      </c>
      <c r="V624" s="836"/>
    </row>
    <row r="625" spans="2:22" s="829" customFormat="1" ht="120">
      <c r="B625" s="830"/>
      <c r="C625" s="830" t="s">
        <v>3210</v>
      </c>
      <c r="D625" s="830" t="s">
        <v>2924</v>
      </c>
      <c r="E625" s="859" t="s">
        <v>2924</v>
      </c>
      <c r="F625" s="10" t="s">
        <v>3203</v>
      </c>
      <c r="G625" s="10"/>
      <c r="H625" s="11" t="s">
        <v>2781</v>
      </c>
      <c r="I625" s="859"/>
      <c r="J625" s="6" t="s">
        <v>2783</v>
      </c>
      <c r="K625" s="6" t="s">
        <v>2986</v>
      </c>
      <c r="L625" s="7" t="s">
        <v>2950</v>
      </c>
      <c r="M625" s="833" t="s">
        <v>2810</v>
      </c>
      <c r="N625" s="833" t="s">
        <v>2951</v>
      </c>
      <c r="O625" s="834"/>
      <c r="P625" s="835"/>
      <c r="Q625" s="6"/>
      <c r="R625" s="6"/>
      <c r="S625" s="6"/>
      <c r="T625" s="6"/>
      <c r="U625" s="831" t="s">
        <v>3204</v>
      </c>
      <c r="V625" s="836"/>
    </row>
    <row r="626" spans="2:22" s="829" customFormat="1" ht="409.5">
      <c r="B626" s="830"/>
      <c r="C626" s="830">
        <v>8.0299999999999994</v>
      </c>
      <c r="D626" s="830" t="s">
        <v>87</v>
      </c>
      <c r="E626" s="859" t="s">
        <v>87</v>
      </c>
      <c r="F626" s="10" t="s">
        <v>3211</v>
      </c>
      <c r="G626" s="10" t="s">
        <v>3212</v>
      </c>
      <c r="H626" s="11" t="s">
        <v>299</v>
      </c>
      <c r="I626" s="859" t="s">
        <v>299</v>
      </c>
      <c r="J626" s="859">
        <v>313000</v>
      </c>
      <c r="K626" s="6">
        <v>342023.55099999998</v>
      </c>
      <c r="L626" s="859">
        <v>415238.60894906265</v>
      </c>
      <c r="M626" s="833">
        <v>0.32664092315994459</v>
      </c>
      <c r="N626" s="833">
        <v>0.2140643757863992</v>
      </c>
      <c r="O626" s="834"/>
      <c r="P626" s="835" t="s">
        <v>2943</v>
      </c>
      <c r="Q626" s="6"/>
      <c r="R626" s="6"/>
      <c r="S626" s="6"/>
      <c r="T626" s="6"/>
      <c r="U626" s="831" t="s">
        <v>3213</v>
      </c>
      <c r="V626" s="836"/>
    </row>
    <row r="627" spans="2:22" s="829" customFormat="1" ht="120">
      <c r="B627" s="830"/>
      <c r="C627" s="830" t="s">
        <v>3214</v>
      </c>
      <c r="D627" s="830" t="s">
        <v>2924</v>
      </c>
      <c r="E627" s="859" t="s">
        <v>2924</v>
      </c>
      <c r="F627" s="10" t="s">
        <v>3203</v>
      </c>
      <c r="G627" s="10"/>
      <c r="H627" s="11" t="s">
        <v>2781</v>
      </c>
      <c r="I627" s="859"/>
      <c r="J627" s="6" t="s">
        <v>2783</v>
      </c>
      <c r="K627" s="6" t="s">
        <v>2783</v>
      </c>
      <c r="L627" s="7" t="s">
        <v>2950</v>
      </c>
      <c r="M627" s="833" t="s">
        <v>2810</v>
      </c>
      <c r="N627" s="833" t="s">
        <v>2810</v>
      </c>
      <c r="O627" s="834"/>
      <c r="P627" s="835"/>
      <c r="Q627" s="6"/>
      <c r="R627" s="6"/>
      <c r="S627" s="6"/>
      <c r="T627" s="6"/>
      <c r="U627" s="831" t="s">
        <v>3204</v>
      </c>
      <c r="V627" s="836"/>
    </row>
    <row r="628" spans="2:22" s="829" customFormat="1" ht="120">
      <c r="B628" s="830"/>
      <c r="C628" s="830" t="s">
        <v>3215</v>
      </c>
      <c r="D628" s="830" t="s">
        <v>2924</v>
      </c>
      <c r="E628" s="859" t="s">
        <v>2924</v>
      </c>
      <c r="F628" s="10" t="s">
        <v>3203</v>
      </c>
      <c r="G628" s="10"/>
      <c r="H628" s="11" t="s">
        <v>2781</v>
      </c>
      <c r="I628" s="859"/>
      <c r="J628" s="6" t="s">
        <v>2783</v>
      </c>
      <c r="K628" s="6" t="s">
        <v>2986</v>
      </c>
      <c r="L628" s="7" t="s">
        <v>2950</v>
      </c>
      <c r="M628" s="833" t="s">
        <v>2810</v>
      </c>
      <c r="N628" s="833" t="s">
        <v>2951</v>
      </c>
      <c r="O628" s="834"/>
      <c r="P628" s="835"/>
      <c r="Q628" s="6"/>
      <c r="R628" s="6"/>
      <c r="S628" s="6"/>
      <c r="T628" s="6"/>
      <c r="U628" s="831" t="s">
        <v>3204</v>
      </c>
      <c r="V628" s="836"/>
    </row>
    <row r="629" spans="2:22" s="829" customFormat="1" ht="267.75">
      <c r="B629" s="830"/>
      <c r="C629" s="830">
        <v>8.0399999999999991</v>
      </c>
      <c r="D629" s="830" t="s">
        <v>87</v>
      </c>
      <c r="E629" s="859" t="s">
        <v>87</v>
      </c>
      <c r="F629" s="10" t="s">
        <v>3216</v>
      </c>
      <c r="G629" s="10" t="s">
        <v>3217</v>
      </c>
      <c r="H629" s="11" t="s">
        <v>299</v>
      </c>
      <c r="I629" s="859" t="s">
        <v>299</v>
      </c>
      <c r="J629" s="859">
        <v>843000</v>
      </c>
      <c r="K629" s="6">
        <v>921168.86100000003</v>
      </c>
      <c r="L629" s="859">
        <v>1078813.7929019369</v>
      </c>
      <c r="M629" s="833">
        <v>0.27973166417786111</v>
      </c>
      <c r="N629" s="833">
        <v>0.17113575868250813</v>
      </c>
      <c r="O629" s="834"/>
      <c r="P629" s="835" t="s">
        <v>2943</v>
      </c>
      <c r="Q629" s="6"/>
      <c r="R629" s="6"/>
      <c r="S629" s="6"/>
      <c r="T629" s="6"/>
      <c r="U629" s="831" t="s">
        <v>3218</v>
      </c>
      <c r="V629" s="836"/>
    </row>
    <row r="630" spans="2:22" s="829" customFormat="1" ht="120">
      <c r="B630" s="830"/>
      <c r="C630" s="830" t="s">
        <v>3219</v>
      </c>
      <c r="D630" s="830" t="s">
        <v>2924</v>
      </c>
      <c r="E630" s="859" t="s">
        <v>2924</v>
      </c>
      <c r="F630" s="10" t="s">
        <v>3203</v>
      </c>
      <c r="G630" s="10"/>
      <c r="H630" s="11" t="s">
        <v>2781</v>
      </c>
      <c r="I630" s="859"/>
      <c r="J630" s="6" t="s">
        <v>2783</v>
      </c>
      <c r="K630" s="6" t="s">
        <v>2783</v>
      </c>
      <c r="L630" s="7" t="s">
        <v>2950</v>
      </c>
      <c r="M630" s="833" t="s">
        <v>2810</v>
      </c>
      <c r="N630" s="833" t="s">
        <v>2810</v>
      </c>
      <c r="O630" s="834"/>
      <c r="P630" s="835"/>
      <c r="Q630" s="6"/>
      <c r="R630" s="6"/>
      <c r="S630" s="6"/>
      <c r="T630" s="6"/>
      <c r="U630" s="17" t="s">
        <v>3204</v>
      </c>
      <c r="V630" s="836"/>
    </row>
    <row r="631" spans="2:22" s="829" customFormat="1" ht="120">
      <c r="B631" s="830"/>
      <c r="C631" s="830" t="s">
        <v>3220</v>
      </c>
      <c r="D631" s="830" t="s">
        <v>2924</v>
      </c>
      <c r="E631" s="859" t="s">
        <v>2924</v>
      </c>
      <c r="F631" s="10" t="s">
        <v>3203</v>
      </c>
      <c r="G631" s="10"/>
      <c r="H631" s="11" t="s">
        <v>2781</v>
      </c>
      <c r="I631" s="859"/>
      <c r="J631" s="6" t="s">
        <v>2783</v>
      </c>
      <c r="K631" s="6" t="s">
        <v>2783</v>
      </c>
      <c r="L631" s="7" t="s">
        <v>2950</v>
      </c>
      <c r="M631" s="833" t="s">
        <v>2810</v>
      </c>
      <c r="N631" s="833" t="s">
        <v>2810</v>
      </c>
      <c r="O631" s="834"/>
      <c r="P631" s="835"/>
      <c r="Q631" s="6"/>
      <c r="R631" s="6"/>
      <c r="S631" s="6"/>
      <c r="T631" s="6"/>
      <c r="U631" s="17" t="s">
        <v>3204</v>
      </c>
      <c r="V631" s="836"/>
    </row>
    <row r="632" spans="2:22" s="829" customFormat="1" ht="105">
      <c r="B632" s="830"/>
      <c r="C632" s="830" t="s">
        <v>3221</v>
      </c>
      <c r="D632" s="830" t="s">
        <v>2924</v>
      </c>
      <c r="E632" s="859" t="s">
        <v>2924</v>
      </c>
      <c r="F632" s="10" t="s">
        <v>3222</v>
      </c>
      <c r="G632" s="10"/>
      <c r="H632" s="11" t="s">
        <v>219</v>
      </c>
      <c r="I632" s="859"/>
      <c r="J632" s="6" t="s">
        <v>2783</v>
      </c>
      <c r="K632" s="6" t="s">
        <v>2783</v>
      </c>
      <c r="L632" s="7" t="s">
        <v>2950</v>
      </c>
      <c r="M632" s="833" t="s">
        <v>2810</v>
      </c>
      <c r="N632" s="833" t="s">
        <v>2810</v>
      </c>
      <c r="O632" s="834"/>
      <c r="P632" s="835"/>
      <c r="Q632" s="6"/>
      <c r="R632" s="6"/>
      <c r="S632" s="6"/>
      <c r="T632" s="6"/>
      <c r="U632" s="831" t="s">
        <v>3223</v>
      </c>
      <c r="V632" s="836"/>
    </row>
    <row r="633" spans="2:22" s="829" customFormat="1" ht="178.5">
      <c r="B633" s="830"/>
      <c r="C633" s="830" t="s">
        <v>3224</v>
      </c>
      <c r="D633" s="830"/>
      <c r="E633" s="859" t="s">
        <v>2924</v>
      </c>
      <c r="F633" s="10" t="s">
        <v>3225</v>
      </c>
      <c r="G633" s="10"/>
      <c r="H633" s="11" t="s">
        <v>219</v>
      </c>
      <c r="I633" s="860"/>
      <c r="J633" s="860">
        <v>5.5</v>
      </c>
      <c r="K633" s="7">
        <v>6.0099985</v>
      </c>
      <c r="L633" s="7" t="s">
        <v>2950</v>
      </c>
      <c r="M633" s="833" t="s">
        <v>2951</v>
      </c>
      <c r="N633" s="833" t="s">
        <v>2951</v>
      </c>
      <c r="O633" s="834"/>
      <c r="P633" s="835"/>
      <c r="Q633" s="6"/>
      <c r="R633" s="6"/>
      <c r="S633" s="6"/>
      <c r="T633" s="6"/>
      <c r="U633" s="831" t="s">
        <v>3226</v>
      </c>
      <c r="V633" s="836"/>
    </row>
    <row r="634" spans="2:22" s="829" customFormat="1" ht="178.5">
      <c r="B634" s="830"/>
      <c r="C634" s="830" t="s">
        <v>3227</v>
      </c>
      <c r="D634" s="830"/>
      <c r="E634" s="859" t="s">
        <v>2924</v>
      </c>
      <c r="F634" s="10" t="s">
        <v>3228</v>
      </c>
      <c r="G634" s="10"/>
      <c r="H634" s="11" t="s">
        <v>219</v>
      </c>
      <c r="I634" s="860"/>
      <c r="J634" s="860">
        <v>6</v>
      </c>
      <c r="K634" s="7">
        <v>6.556362</v>
      </c>
      <c r="L634" s="7" t="s">
        <v>2950</v>
      </c>
      <c r="M634" s="833" t="s">
        <v>2951</v>
      </c>
      <c r="N634" s="833" t="s">
        <v>2951</v>
      </c>
      <c r="O634" s="834"/>
      <c r="P634" s="835"/>
      <c r="Q634" s="6"/>
      <c r="R634" s="6"/>
      <c r="S634" s="6"/>
      <c r="T634" s="6"/>
      <c r="U634" s="831" t="s">
        <v>3226</v>
      </c>
      <c r="V634" s="836"/>
    </row>
    <row r="635" spans="2:22" s="829" customFormat="1" ht="178.5">
      <c r="B635" s="830"/>
      <c r="C635" s="830" t="s">
        <v>3229</v>
      </c>
      <c r="D635" s="830"/>
      <c r="E635" s="859" t="s">
        <v>2924</v>
      </c>
      <c r="F635" s="10" t="s">
        <v>3230</v>
      </c>
      <c r="G635" s="10"/>
      <c r="H635" s="11" t="s">
        <v>219</v>
      </c>
      <c r="I635" s="860"/>
      <c r="J635" s="860">
        <v>8</v>
      </c>
      <c r="K635" s="7">
        <v>8.741816</v>
      </c>
      <c r="L635" s="7" t="s">
        <v>2950</v>
      </c>
      <c r="M635" s="833" t="s">
        <v>2951</v>
      </c>
      <c r="N635" s="833" t="s">
        <v>2951</v>
      </c>
      <c r="O635" s="834"/>
      <c r="P635" s="835"/>
      <c r="Q635" s="6"/>
      <c r="R635" s="6"/>
      <c r="S635" s="6"/>
      <c r="T635" s="6"/>
      <c r="U635" s="831" t="s">
        <v>3226</v>
      </c>
      <c r="V635" s="836"/>
    </row>
    <row r="636" spans="2:22" s="816" customFormat="1">
      <c r="B636" s="827"/>
      <c r="C636" s="827" t="s">
        <v>3231</v>
      </c>
      <c r="D636" s="827"/>
      <c r="E636" s="827"/>
      <c r="F636" s="827"/>
      <c r="G636" s="827"/>
      <c r="H636" s="827"/>
      <c r="I636" s="827"/>
      <c r="J636" s="827"/>
      <c r="K636" s="827"/>
      <c r="L636" s="827"/>
      <c r="M636" s="827"/>
      <c r="N636" s="827"/>
      <c r="O636" s="847"/>
      <c r="P636" s="847"/>
      <c r="Q636" s="847"/>
      <c r="R636" s="847"/>
      <c r="S636" s="847"/>
      <c r="T636" s="847"/>
      <c r="U636" s="847"/>
      <c r="V636" s="847"/>
    </row>
    <row r="637" spans="2:22" s="829" customFormat="1" ht="25.5" customHeight="1">
      <c r="B637" s="830"/>
      <c r="C637" s="830" t="s">
        <v>3232</v>
      </c>
      <c r="D637" s="830" t="s">
        <v>2924</v>
      </c>
      <c r="E637" s="7" t="s">
        <v>2924</v>
      </c>
      <c r="F637" s="831" t="s">
        <v>3233</v>
      </c>
      <c r="G637" s="831" t="s">
        <v>2924</v>
      </c>
      <c r="H637" s="832" t="s">
        <v>2985</v>
      </c>
      <c r="I637" s="7"/>
      <c r="J637" s="7" t="s">
        <v>2783</v>
      </c>
      <c r="K637" s="6" t="s">
        <v>2986</v>
      </c>
      <c r="L637" s="7" t="s">
        <v>2924</v>
      </c>
      <c r="M637" s="833" t="s">
        <v>2810</v>
      </c>
      <c r="N637" s="833" t="s">
        <v>2968</v>
      </c>
      <c r="O637" s="834"/>
      <c r="P637" s="835"/>
      <c r="Q637" s="6"/>
      <c r="R637" s="6"/>
      <c r="S637" s="6"/>
      <c r="T637" s="6"/>
      <c r="U637" s="831" t="s">
        <v>3234</v>
      </c>
      <c r="V637" s="836"/>
    </row>
    <row r="638" spans="2:22" s="829" customFormat="1" ht="38.25">
      <c r="B638" s="830"/>
      <c r="C638" s="830" t="s">
        <v>3235</v>
      </c>
      <c r="D638" s="830" t="s">
        <v>2924</v>
      </c>
      <c r="E638" s="7" t="s">
        <v>2924</v>
      </c>
      <c r="F638" s="831" t="s">
        <v>3236</v>
      </c>
      <c r="G638" s="831" t="s">
        <v>2924</v>
      </c>
      <c r="H638" s="832" t="s">
        <v>2985</v>
      </c>
      <c r="I638" s="8"/>
      <c r="J638" s="8">
        <v>3.2562199999999999</v>
      </c>
      <c r="K638" s="6">
        <v>3.55815951194</v>
      </c>
      <c r="L638" s="14">
        <v>3.8038184926990666</v>
      </c>
      <c r="M638" s="833">
        <v>0.16816999241423083</v>
      </c>
      <c r="N638" s="833">
        <v>6.904102526452699E-2</v>
      </c>
      <c r="O638" s="834"/>
      <c r="P638" s="835"/>
      <c r="Q638" s="6"/>
      <c r="R638" s="6"/>
      <c r="S638" s="6"/>
      <c r="T638" s="6"/>
      <c r="U638" s="831" t="s">
        <v>3237</v>
      </c>
      <c r="V638" s="836"/>
    </row>
    <row r="639" spans="2:22" s="829" customFormat="1" ht="38.25">
      <c r="B639" s="830"/>
      <c r="C639" s="830" t="s">
        <v>3238</v>
      </c>
      <c r="D639" s="830" t="s">
        <v>2924</v>
      </c>
      <c r="E639" s="7" t="s">
        <v>2924</v>
      </c>
      <c r="F639" s="831" t="s">
        <v>3239</v>
      </c>
      <c r="G639" s="831" t="s">
        <v>2924</v>
      </c>
      <c r="H639" s="832" t="s">
        <v>2985</v>
      </c>
      <c r="I639" s="8" t="s">
        <v>2924</v>
      </c>
      <c r="J639" s="8">
        <v>4.32</v>
      </c>
      <c r="K639" s="6">
        <v>4.7205806400000005</v>
      </c>
      <c r="L639" s="14">
        <v>4.7608854861631187</v>
      </c>
      <c r="M639" s="833">
        <v>0.10205682550072184</v>
      </c>
      <c r="N639" s="833">
        <v>8.5381119902059616E-3</v>
      </c>
      <c r="O639" s="834"/>
      <c r="P639" s="835"/>
      <c r="Q639" s="6"/>
      <c r="R639" s="6"/>
      <c r="S639" s="6"/>
      <c r="T639" s="6"/>
      <c r="U639" s="831" t="s">
        <v>3240</v>
      </c>
      <c r="V639" s="836"/>
    </row>
    <row r="640" spans="2:22" s="829" customFormat="1" ht="38.25">
      <c r="B640" s="830"/>
      <c r="C640" s="830" t="s">
        <v>3241</v>
      </c>
      <c r="D640" s="830" t="s">
        <v>2924</v>
      </c>
      <c r="E640" s="7" t="s">
        <v>2924</v>
      </c>
      <c r="F640" s="831" t="s">
        <v>3242</v>
      </c>
      <c r="G640" s="831" t="s">
        <v>2924</v>
      </c>
      <c r="H640" s="832" t="s">
        <v>2985</v>
      </c>
      <c r="I640" s="8" t="s">
        <v>2924</v>
      </c>
      <c r="J640" s="8">
        <v>6</v>
      </c>
      <c r="K640" s="6">
        <v>6.556362</v>
      </c>
      <c r="L640" s="14">
        <v>5.8717237214572373</v>
      </c>
      <c r="M640" s="833">
        <v>-2.1379379757127115E-2</v>
      </c>
      <c r="N640" s="833">
        <v>-0.10442350171371909</v>
      </c>
      <c r="O640" s="834"/>
      <c r="P640" s="835"/>
      <c r="Q640" s="6"/>
      <c r="R640" s="6"/>
      <c r="S640" s="6"/>
      <c r="T640" s="6"/>
      <c r="U640" s="831" t="s">
        <v>3243</v>
      </c>
      <c r="V640" s="836"/>
    </row>
    <row r="641" spans="2:22" s="829" customFormat="1" ht="38.25">
      <c r="B641" s="830"/>
      <c r="C641" s="830" t="s">
        <v>3244</v>
      </c>
      <c r="D641" s="830" t="s">
        <v>2924</v>
      </c>
      <c r="E641" s="7" t="s">
        <v>2924</v>
      </c>
      <c r="F641" s="831" t="s">
        <v>3245</v>
      </c>
      <c r="G641" s="831" t="s">
        <v>2924</v>
      </c>
      <c r="H641" s="832" t="s">
        <v>2985</v>
      </c>
      <c r="I641" s="8" t="s">
        <v>2924</v>
      </c>
      <c r="J641" s="8">
        <v>7.91</v>
      </c>
      <c r="K641" s="6">
        <v>8.6434705699999999</v>
      </c>
      <c r="L641" s="14">
        <v>7.759150192045472</v>
      </c>
      <c r="M641" s="833">
        <v>-1.907077218135628E-2</v>
      </c>
      <c r="N641" s="833">
        <v>-0.10231079874603285</v>
      </c>
      <c r="O641" s="834"/>
      <c r="P641" s="835"/>
      <c r="Q641" s="6"/>
      <c r="R641" s="6"/>
      <c r="S641" s="6"/>
      <c r="T641" s="6"/>
      <c r="U641" s="831" t="s">
        <v>3243</v>
      </c>
      <c r="V641" s="836"/>
    </row>
    <row r="642" spans="2:22" s="829" customFormat="1" ht="89.25">
      <c r="B642" s="830"/>
      <c r="C642" s="830" t="s">
        <v>3246</v>
      </c>
      <c r="D642" s="830" t="s">
        <v>2924</v>
      </c>
      <c r="E642" s="7" t="s">
        <v>2924</v>
      </c>
      <c r="F642" s="831" t="s">
        <v>3247</v>
      </c>
      <c r="G642" s="831" t="s">
        <v>2924</v>
      </c>
      <c r="H642" s="832" t="s">
        <v>2985</v>
      </c>
      <c r="I642" s="8" t="s">
        <v>2924</v>
      </c>
      <c r="J642" s="7" t="s">
        <v>2783</v>
      </c>
      <c r="K642" s="6" t="s">
        <v>2986</v>
      </c>
      <c r="L642" s="14" t="s">
        <v>2924</v>
      </c>
      <c r="M642" s="833" t="s">
        <v>2810</v>
      </c>
      <c r="N642" s="833" t="s">
        <v>2968</v>
      </c>
      <c r="O642" s="834"/>
      <c r="P642" s="835"/>
      <c r="Q642" s="6"/>
      <c r="R642" s="6"/>
      <c r="S642" s="6"/>
      <c r="T642" s="6"/>
      <c r="U642" s="831" t="s">
        <v>3248</v>
      </c>
      <c r="V642" s="836"/>
    </row>
    <row r="643" spans="2:22" s="829" customFormat="1" ht="76.5">
      <c r="B643" s="830"/>
      <c r="C643" s="830" t="s">
        <v>3249</v>
      </c>
      <c r="D643" s="830" t="s">
        <v>2924</v>
      </c>
      <c r="E643" s="7" t="s">
        <v>2924</v>
      </c>
      <c r="F643" s="831" t="s">
        <v>3250</v>
      </c>
      <c r="G643" s="831" t="s">
        <v>2924</v>
      </c>
      <c r="H643" s="832" t="s">
        <v>2985</v>
      </c>
      <c r="I643" s="8" t="s">
        <v>2924</v>
      </c>
      <c r="J643" s="8">
        <v>3.8975249999999999</v>
      </c>
      <c r="K643" s="6">
        <v>4.2589308006749995</v>
      </c>
      <c r="L643" s="14">
        <v>5.2466992116533149</v>
      </c>
      <c r="M643" s="833">
        <v>0.34616178514655199</v>
      </c>
      <c r="N643" s="833">
        <v>0.23192872981682716</v>
      </c>
      <c r="O643" s="834"/>
      <c r="P643" s="835" t="s">
        <v>2943</v>
      </c>
      <c r="Q643" s="6"/>
      <c r="R643" s="6"/>
      <c r="S643" s="6"/>
      <c r="T643" s="6"/>
      <c r="U643" s="831" t="s">
        <v>3251</v>
      </c>
      <c r="V643" s="836"/>
    </row>
    <row r="644" spans="2:22" s="829" customFormat="1" ht="89.25">
      <c r="B644" s="830"/>
      <c r="C644" s="830" t="s">
        <v>3252</v>
      </c>
      <c r="D644" s="830" t="s">
        <v>2924</v>
      </c>
      <c r="E644" s="7" t="s">
        <v>2924</v>
      </c>
      <c r="F644" s="831" t="s">
        <v>3253</v>
      </c>
      <c r="G644" s="831" t="s">
        <v>2924</v>
      </c>
      <c r="H644" s="832" t="s">
        <v>2985</v>
      </c>
      <c r="I644" s="8" t="s">
        <v>2924</v>
      </c>
      <c r="J644" s="8">
        <v>5.2197949999999995</v>
      </c>
      <c r="K644" s="6">
        <v>5.7038109309649991</v>
      </c>
      <c r="L644" s="14">
        <v>6.0841256822415506</v>
      </c>
      <c r="M644" s="833">
        <v>0.16558709340913794</v>
      </c>
      <c r="N644" s="833">
        <v>6.6677306783064758E-2</v>
      </c>
      <c r="O644" s="834"/>
      <c r="P644" s="835"/>
      <c r="Q644" s="6"/>
      <c r="R644" s="6"/>
      <c r="S644" s="6"/>
      <c r="T644" s="6"/>
      <c r="U644" s="831" t="s">
        <v>3254</v>
      </c>
      <c r="V644" s="836"/>
    </row>
    <row r="645" spans="2:22" s="829" customFormat="1" ht="89.25">
      <c r="B645" s="830"/>
      <c r="C645" s="830" t="s">
        <v>3255</v>
      </c>
      <c r="D645" s="830" t="s">
        <v>2924</v>
      </c>
      <c r="E645" s="7" t="s">
        <v>2924</v>
      </c>
      <c r="F645" s="831" t="s">
        <v>3256</v>
      </c>
      <c r="G645" s="831" t="s">
        <v>2924</v>
      </c>
      <c r="H645" s="832" t="s">
        <v>2985</v>
      </c>
      <c r="I645" s="8" t="s">
        <v>2924</v>
      </c>
      <c r="J645" s="8">
        <v>6.8769312500000002</v>
      </c>
      <c r="K645" s="6">
        <v>7.5146084540187505</v>
      </c>
      <c r="L645" s="14">
        <v>7.7528021528297852</v>
      </c>
      <c r="M645" s="833">
        <v>0.1273636264474485</v>
      </c>
      <c r="N645" s="833">
        <v>3.1697419801513499E-2</v>
      </c>
      <c r="O645" s="834"/>
      <c r="P645" s="835"/>
      <c r="Q645" s="6"/>
      <c r="R645" s="6"/>
      <c r="S645" s="6"/>
      <c r="T645" s="6"/>
      <c r="U645" s="831" t="s">
        <v>3257</v>
      </c>
      <c r="V645" s="836"/>
    </row>
    <row r="646" spans="2:22" s="829" customFormat="1" ht="89.25">
      <c r="B646" s="830"/>
      <c r="C646" s="830" t="s">
        <v>3258</v>
      </c>
      <c r="D646" s="830" t="s">
        <v>2924</v>
      </c>
      <c r="E646" s="7" t="s">
        <v>2924</v>
      </c>
      <c r="F646" s="831" t="s">
        <v>3259</v>
      </c>
      <c r="G646" s="831" t="s">
        <v>2924</v>
      </c>
      <c r="H646" s="832" t="s">
        <v>2985</v>
      </c>
      <c r="I646" s="8" t="s">
        <v>2924</v>
      </c>
      <c r="J646" s="8">
        <v>9.1269312500000002</v>
      </c>
      <c r="K646" s="6">
        <v>9.9732442040187497</v>
      </c>
      <c r="L646" s="14">
        <v>9.6855227410650784</v>
      </c>
      <c r="M646" s="833">
        <v>6.1202552727136865E-2</v>
      </c>
      <c r="N646" s="833">
        <v>-2.8849334987479103E-2</v>
      </c>
      <c r="O646" s="834"/>
      <c r="P646" s="835"/>
      <c r="Q646" s="6"/>
      <c r="R646" s="6"/>
      <c r="S646" s="6"/>
      <c r="T646" s="6"/>
      <c r="U646" s="831" t="s">
        <v>3257</v>
      </c>
      <c r="V646" s="836"/>
    </row>
    <row r="647" spans="2:22" s="829" customFormat="1" ht="51">
      <c r="B647" s="830"/>
      <c r="C647" s="830">
        <v>9.0299999999999994</v>
      </c>
      <c r="D647" s="830" t="s">
        <v>3260</v>
      </c>
      <c r="E647" s="7" t="s">
        <v>2924</v>
      </c>
      <c r="F647" s="831" t="s">
        <v>3261</v>
      </c>
      <c r="G647" s="831" t="s">
        <v>2924</v>
      </c>
      <c r="H647" s="832" t="s">
        <v>2807</v>
      </c>
      <c r="I647" s="7" t="s">
        <v>2924</v>
      </c>
      <c r="J647" s="7">
        <v>185</v>
      </c>
      <c r="K647" s="6">
        <v>202.154495</v>
      </c>
      <c r="L647" s="7" t="s">
        <v>2924</v>
      </c>
      <c r="M647" s="833" t="s">
        <v>2968</v>
      </c>
      <c r="N647" s="833" t="s">
        <v>2968</v>
      </c>
      <c r="O647" s="834"/>
      <c r="P647" s="835"/>
      <c r="Q647" s="6"/>
      <c r="R647" s="6"/>
      <c r="S647" s="6"/>
      <c r="T647" s="6"/>
      <c r="U647" s="831" t="s">
        <v>3262</v>
      </c>
      <c r="V647" s="836"/>
    </row>
    <row r="648" spans="2:22" s="829" customFormat="1" ht="51">
      <c r="B648" s="830"/>
      <c r="C648" s="830">
        <v>9.0399999999999991</v>
      </c>
      <c r="D648" s="830" t="s">
        <v>3231</v>
      </c>
      <c r="E648" s="7" t="s">
        <v>3263</v>
      </c>
      <c r="F648" s="831" t="s">
        <v>3264</v>
      </c>
      <c r="G648" s="831"/>
      <c r="H648" s="832" t="s">
        <v>299</v>
      </c>
      <c r="I648" s="832" t="s">
        <v>299</v>
      </c>
      <c r="J648" s="7">
        <v>1130</v>
      </c>
      <c r="K648" s="6">
        <v>1234.78151</v>
      </c>
      <c r="L648" s="14">
        <v>1230.1933991600233</v>
      </c>
      <c r="M648" s="833">
        <v>8.8666724920374612E-2</v>
      </c>
      <c r="N648" s="833">
        <v>-3.7157268737986748E-3</v>
      </c>
      <c r="O648" s="834"/>
      <c r="P648" s="835"/>
      <c r="Q648" s="6"/>
      <c r="R648" s="6"/>
      <c r="S648" s="6"/>
      <c r="T648" s="6"/>
      <c r="U648" s="831" t="s">
        <v>3265</v>
      </c>
      <c r="V648" s="836"/>
    </row>
    <row r="649" spans="2:22" s="829" customFormat="1" ht="25.5">
      <c r="B649" s="830"/>
      <c r="C649" s="830">
        <v>9.0500000000000007</v>
      </c>
      <c r="D649" s="830" t="s">
        <v>3231</v>
      </c>
      <c r="E649" s="7" t="s">
        <v>3263</v>
      </c>
      <c r="F649" s="831" t="s">
        <v>3266</v>
      </c>
      <c r="G649" s="831"/>
      <c r="H649" s="832" t="s">
        <v>299</v>
      </c>
      <c r="I649" s="832" t="s">
        <v>299</v>
      </c>
      <c r="J649" s="7">
        <v>960</v>
      </c>
      <c r="K649" s="6">
        <v>1049.01792</v>
      </c>
      <c r="L649" s="14">
        <v>1124.2076877014456</v>
      </c>
      <c r="M649" s="833">
        <v>0.17104967468900584</v>
      </c>
      <c r="N649" s="833">
        <v>7.1676342479874505E-2</v>
      </c>
      <c r="O649" s="834"/>
      <c r="P649" s="835"/>
      <c r="Q649" s="6"/>
      <c r="R649" s="6"/>
      <c r="S649" s="6"/>
      <c r="T649" s="6"/>
      <c r="U649" s="831" t="s">
        <v>3267</v>
      </c>
      <c r="V649" s="836"/>
    </row>
    <row r="650" spans="2:22" s="829" customFormat="1" ht="25.5">
      <c r="B650" s="830"/>
      <c r="C650" s="830">
        <v>9.06</v>
      </c>
      <c r="D650" s="830" t="s">
        <v>3231</v>
      </c>
      <c r="E650" s="7" t="s">
        <v>3263</v>
      </c>
      <c r="F650" s="831" t="s">
        <v>3268</v>
      </c>
      <c r="G650" s="831"/>
      <c r="H650" s="832" t="s">
        <v>2781</v>
      </c>
      <c r="I650" s="832" t="s">
        <v>3269</v>
      </c>
      <c r="J650" s="7">
        <v>15</v>
      </c>
      <c r="K650" s="6">
        <v>16.390905</v>
      </c>
      <c r="L650" s="14">
        <v>27.818010222222224</v>
      </c>
      <c r="M650" s="833">
        <v>0.85453401481481495</v>
      </c>
      <c r="N650" s="833">
        <v>0.69716133564450677</v>
      </c>
      <c r="O650" s="834"/>
      <c r="P650" s="835" t="s">
        <v>2943</v>
      </c>
      <c r="Q650" s="6"/>
      <c r="R650" s="6"/>
      <c r="S650" s="6"/>
      <c r="T650" s="6"/>
      <c r="U650" s="831" t="s">
        <v>3270</v>
      </c>
      <c r="V650" s="836"/>
    </row>
    <row r="651" spans="2:22" s="829" customFormat="1" ht="25.5">
      <c r="B651" s="830"/>
      <c r="C651" s="830">
        <v>9.07</v>
      </c>
      <c r="D651" s="830" t="s">
        <v>3231</v>
      </c>
      <c r="E651" s="7" t="s">
        <v>3263</v>
      </c>
      <c r="F651" s="831" t="s">
        <v>3271</v>
      </c>
      <c r="G651" s="831"/>
      <c r="H651" s="832" t="s">
        <v>2781</v>
      </c>
      <c r="I651" s="832" t="s">
        <v>3272</v>
      </c>
      <c r="J651" s="7">
        <v>6.6</v>
      </c>
      <c r="K651" s="6">
        <v>7.2119982</v>
      </c>
      <c r="L651" s="14">
        <v>8.6370751111111126</v>
      </c>
      <c r="M651" s="833">
        <v>0.30864774410774443</v>
      </c>
      <c r="N651" s="833">
        <v>0.1975980680515301</v>
      </c>
      <c r="O651" s="834"/>
      <c r="P651" s="835"/>
      <c r="Q651" s="6"/>
      <c r="R651" s="6"/>
      <c r="S651" s="6"/>
      <c r="T651" s="6"/>
      <c r="U651" s="831" t="s">
        <v>3270</v>
      </c>
      <c r="V651" s="836"/>
    </row>
    <row r="652" spans="2:22" s="829" customFormat="1" ht="38.25">
      <c r="B652" s="830"/>
      <c r="C652" s="830">
        <v>9.08</v>
      </c>
      <c r="D652" s="830" t="s">
        <v>3231</v>
      </c>
      <c r="E652" s="7" t="s">
        <v>3263</v>
      </c>
      <c r="F652" s="831" t="s">
        <v>3273</v>
      </c>
      <c r="G652" s="831"/>
      <c r="H652" s="832" t="s">
        <v>299</v>
      </c>
      <c r="I652" s="832" t="s">
        <v>299</v>
      </c>
      <c r="J652" s="6">
        <v>1875</v>
      </c>
      <c r="K652" s="6">
        <v>2048.8631249999999</v>
      </c>
      <c r="L652" s="6">
        <v>2953.1539096666666</v>
      </c>
      <c r="M652" s="833">
        <v>0.57501541848888882</v>
      </c>
      <c r="N652" s="833">
        <v>0.44136222358273286</v>
      </c>
      <c r="O652" s="834"/>
      <c r="P652" s="835"/>
      <c r="Q652" s="6"/>
      <c r="R652" s="6"/>
      <c r="S652" s="6"/>
      <c r="T652" s="6"/>
      <c r="U652" s="831" t="s">
        <v>3274</v>
      </c>
      <c r="V652" s="836"/>
    </row>
    <row r="653" spans="2:22" s="829" customFormat="1" ht="38.25">
      <c r="B653" s="830"/>
      <c r="C653" s="830">
        <v>9.09</v>
      </c>
      <c r="D653" s="830" t="s">
        <v>3231</v>
      </c>
      <c r="E653" s="7" t="s">
        <v>3263</v>
      </c>
      <c r="F653" s="831" t="s">
        <v>3275</v>
      </c>
      <c r="G653" s="831"/>
      <c r="H653" s="832" t="s">
        <v>299</v>
      </c>
      <c r="I653" s="832" t="s">
        <v>299</v>
      </c>
      <c r="J653" s="6">
        <v>4135</v>
      </c>
      <c r="K653" s="6">
        <v>4518.4261450000004</v>
      </c>
      <c r="L653" s="6">
        <v>4365.5012666666662</v>
      </c>
      <c r="M653" s="833">
        <v>5.5743958081418667E-2</v>
      </c>
      <c r="N653" s="833">
        <v>-3.3844722349298056E-2</v>
      </c>
      <c r="O653" s="834"/>
      <c r="P653" s="835"/>
      <c r="Q653" s="6"/>
      <c r="R653" s="6"/>
      <c r="S653" s="6"/>
      <c r="T653" s="6"/>
      <c r="U653" s="831" t="s">
        <v>3274</v>
      </c>
      <c r="V653" s="836"/>
    </row>
    <row r="654" spans="2:22" s="829" customFormat="1" ht="63.75">
      <c r="B654" s="830"/>
      <c r="C654" s="830" t="s">
        <v>3276</v>
      </c>
      <c r="D654" s="830" t="s">
        <v>3231</v>
      </c>
      <c r="E654" s="7" t="s">
        <v>3263</v>
      </c>
      <c r="F654" s="831" t="s">
        <v>3277</v>
      </c>
      <c r="G654" s="831"/>
      <c r="H654" s="832" t="s">
        <v>2807</v>
      </c>
      <c r="I654" s="832" t="s">
        <v>2807</v>
      </c>
      <c r="J654" s="7">
        <v>1.9</v>
      </c>
      <c r="K654" s="7">
        <v>2.0761813</v>
      </c>
      <c r="L654" s="7">
        <v>1.6411125</v>
      </c>
      <c r="M654" s="833">
        <v>-0.1362565789473684</v>
      </c>
      <c r="N654" s="833">
        <v>-0.20955241240251996</v>
      </c>
      <c r="O654" s="834"/>
      <c r="P654" s="835" t="s">
        <v>3278</v>
      </c>
      <c r="Q654" s="6"/>
      <c r="R654" s="6"/>
      <c r="S654" s="6"/>
      <c r="T654" s="6"/>
      <c r="U654" s="831" t="s">
        <v>3279</v>
      </c>
      <c r="V654" s="836"/>
    </row>
    <row r="655" spans="2:22" s="829" customFormat="1" ht="63.75">
      <c r="B655" s="830"/>
      <c r="C655" s="830" t="s">
        <v>3280</v>
      </c>
      <c r="D655" s="830" t="s">
        <v>3231</v>
      </c>
      <c r="E655" s="7" t="s">
        <v>3263</v>
      </c>
      <c r="F655" s="831" t="s">
        <v>3281</v>
      </c>
      <c r="G655" s="831"/>
      <c r="H655" s="832" t="s">
        <v>215</v>
      </c>
      <c r="I655" s="832" t="s">
        <v>215</v>
      </c>
      <c r="J655" s="7">
        <v>0.43</v>
      </c>
      <c r="K655" s="7">
        <v>0.46987260999999997</v>
      </c>
      <c r="L655" s="7">
        <v>1.6411125</v>
      </c>
      <c r="M655" s="833">
        <v>2.8165406976744189</v>
      </c>
      <c r="N655" s="833">
        <v>2.4926753870586329</v>
      </c>
      <c r="O655" s="834"/>
      <c r="P655" s="835" t="s">
        <v>3282</v>
      </c>
      <c r="Q655" s="6"/>
      <c r="R655" s="6"/>
      <c r="S655" s="7">
        <v>0.4</v>
      </c>
      <c r="T655" s="6" t="s">
        <v>3283</v>
      </c>
      <c r="U655" s="831" t="s">
        <v>3284</v>
      </c>
      <c r="V655" s="836"/>
    </row>
    <row r="656" spans="2:22" s="829" customFormat="1" ht="114.75">
      <c r="B656" s="830"/>
      <c r="C656" s="830" t="s">
        <v>3285</v>
      </c>
      <c r="D656" s="830" t="s">
        <v>3231</v>
      </c>
      <c r="E656" s="7" t="s">
        <v>3263</v>
      </c>
      <c r="F656" s="831" t="s">
        <v>3286</v>
      </c>
      <c r="G656" s="831"/>
      <c r="H656" s="832" t="s">
        <v>215</v>
      </c>
      <c r="I656" s="832" t="s">
        <v>215</v>
      </c>
      <c r="J656" s="7">
        <v>0.8</v>
      </c>
      <c r="K656" s="7">
        <v>0.8741816</v>
      </c>
      <c r="L656" s="7">
        <v>3.2800224999999998</v>
      </c>
      <c r="M656" s="833">
        <v>3.1000281249999992</v>
      </c>
      <c r="N656" s="833">
        <v>2.7521065417071235</v>
      </c>
      <c r="O656" s="834"/>
      <c r="P656" s="835" t="s">
        <v>3282</v>
      </c>
      <c r="Q656" s="6"/>
      <c r="R656" s="6"/>
      <c r="S656" s="6"/>
      <c r="T656" s="6"/>
      <c r="U656" s="831" t="s">
        <v>3287</v>
      </c>
      <c r="V656" s="836"/>
    </row>
    <row r="657" spans="2:22" s="829" customFormat="1" ht="63.75">
      <c r="B657" s="830"/>
      <c r="C657" s="830" t="s">
        <v>3288</v>
      </c>
      <c r="D657" s="830" t="s">
        <v>3231</v>
      </c>
      <c r="E657" s="7" t="s">
        <v>3263</v>
      </c>
      <c r="F657" s="831" t="s">
        <v>3289</v>
      </c>
      <c r="G657" s="831"/>
      <c r="H657" s="832" t="s">
        <v>215</v>
      </c>
      <c r="I657" s="832" t="s">
        <v>215</v>
      </c>
      <c r="J657" s="7">
        <v>1.8</v>
      </c>
      <c r="K657" s="7">
        <v>1.9669086</v>
      </c>
      <c r="L657" s="7">
        <v>3.5726524968513163</v>
      </c>
      <c r="M657" s="833">
        <v>0.98480694269517566</v>
      </c>
      <c r="N657" s="833">
        <v>0.81637951903373462</v>
      </c>
      <c r="O657" s="834"/>
      <c r="P657" s="835" t="s">
        <v>3282</v>
      </c>
      <c r="Q657" s="6"/>
      <c r="R657" s="6"/>
      <c r="S657" s="6"/>
      <c r="T657" s="6"/>
      <c r="U657" s="831" t="s">
        <v>3290</v>
      </c>
      <c r="V657" s="836"/>
    </row>
    <row r="658" spans="2:22" s="829" customFormat="1" ht="63.75">
      <c r="B658" s="830"/>
      <c r="C658" s="830" t="s">
        <v>3291</v>
      </c>
      <c r="D658" s="830" t="s">
        <v>3231</v>
      </c>
      <c r="E658" s="7" t="s">
        <v>3263</v>
      </c>
      <c r="F658" s="831" t="s">
        <v>3292</v>
      </c>
      <c r="G658" s="831"/>
      <c r="H658" s="832" t="s">
        <v>215</v>
      </c>
      <c r="I658" s="832" t="s">
        <v>215</v>
      </c>
      <c r="J658" s="7">
        <v>2.5</v>
      </c>
      <c r="K658" s="7">
        <v>2.7318175</v>
      </c>
      <c r="L658" s="7" t="s">
        <v>2924</v>
      </c>
      <c r="M658" s="833" t="s">
        <v>2968</v>
      </c>
      <c r="N658" s="833" t="s">
        <v>2968</v>
      </c>
      <c r="O658" s="834"/>
      <c r="P658" s="835"/>
      <c r="Q658" s="6"/>
      <c r="R658" s="6"/>
      <c r="S658" s="6"/>
      <c r="T658" s="6"/>
      <c r="U658" s="831" t="s">
        <v>3293</v>
      </c>
      <c r="V658" s="836"/>
    </row>
    <row r="659" spans="2:22" s="829" customFormat="1" ht="63.75">
      <c r="B659" s="830"/>
      <c r="C659" s="830">
        <v>9.11</v>
      </c>
      <c r="D659" s="830" t="s">
        <v>3231</v>
      </c>
      <c r="E659" s="7" t="s">
        <v>3263</v>
      </c>
      <c r="F659" s="831" t="s">
        <v>3294</v>
      </c>
      <c r="G659" s="831"/>
      <c r="H659" s="832" t="s">
        <v>299</v>
      </c>
      <c r="I659" s="832" t="s">
        <v>299</v>
      </c>
      <c r="J659" s="7">
        <v>420</v>
      </c>
      <c r="K659" s="6">
        <v>458.94533999999999</v>
      </c>
      <c r="L659" s="14">
        <v>488.72624299999995</v>
      </c>
      <c r="M659" s="833">
        <v>0.16363391190476179</v>
      </c>
      <c r="N659" s="833">
        <v>6.4889869020132038E-2</v>
      </c>
      <c r="O659" s="834"/>
      <c r="P659" s="835"/>
      <c r="Q659" s="6"/>
      <c r="R659" s="6"/>
      <c r="S659" s="6"/>
      <c r="T659" s="6"/>
      <c r="U659" s="831" t="s">
        <v>3295</v>
      </c>
      <c r="V659" s="836"/>
    </row>
    <row r="660" spans="2:22" s="829" customFormat="1" ht="63.75">
      <c r="B660" s="830"/>
      <c r="C660" s="830">
        <v>9.1199999999999992</v>
      </c>
      <c r="D660" s="830" t="s">
        <v>3231</v>
      </c>
      <c r="E660" s="7" t="s">
        <v>3263</v>
      </c>
      <c r="F660" s="831" t="s">
        <v>3296</v>
      </c>
      <c r="G660" s="831"/>
      <c r="H660" s="832" t="s">
        <v>299</v>
      </c>
      <c r="I660" s="832" t="s">
        <v>299</v>
      </c>
      <c r="J660" s="7">
        <v>140</v>
      </c>
      <c r="K660" s="6">
        <v>152.98178000000001</v>
      </c>
      <c r="L660" s="14">
        <v>201.0736</v>
      </c>
      <c r="M660" s="833">
        <v>0.43624000000000002</v>
      </c>
      <c r="N660" s="833">
        <v>0.31436305682938176</v>
      </c>
      <c r="O660" s="834"/>
      <c r="P660" s="835"/>
      <c r="Q660" s="6"/>
      <c r="R660" s="6"/>
      <c r="S660" s="6"/>
      <c r="T660" s="6"/>
      <c r="U660" s="831" t="s">
        <v>3297</v>
      </c>
      <c r="V660" s="836"/>
    </row>
    <row r="661" spans="2:22" s="829" customFormat="1" ht="25.5">
      <c r="B661" s="830"/>
      <c r="C661" s="830">
        <v>9.1300000000000008</v>
      </c>
      <c r="D661" s="830" t="s">
        <v>3231</v>
      </c>
      <c r="E661" s="7" t="s">
        <v>3263</v>
      </c>
      <c r="F661" s="831" t="s">
        <v>3298</v>
      </c>
      <c r="G661" s="831"/>
      <c r="H661" s="832" t="s">
        <v>299</v>
      </c>
      <c r="I661" s="832" t="s">
        <v>299</v>
      </c>
      <c r="J661" s="7">
        <v>1000</v>
      </c>
      <c r="K661" s="6">
        <v>1092.7270000000001</v>
      </c>
      <c r="L661" s="14">
        <v>2465.3686535543015</v>
      </c>
      <c r="M661" s="833">
        <v>1.4653686535543016</v>
      </c>
      <c r="N661" s="833">
        <v>1.2561615605309482</v>
      </c>
      <c r="O661" s="834"/>
      <c r="P661" s="835" t="s">
        <v>3299</v>
      </c>
      <c r="Q661" s="6"/>
      <c r="R661" s="6"/>
      <c r="S661" s="6"/>
      <c r="T661" s="6"/>
      <c r="U661" s="831" t="s">
        <v>3300</v>
      </c>
      <c r="V661" s="836"/>
    </row>
    <row r="662" spans="2:22" s="829" customFormat="1" ht="25.5">
      <c r="B662" s="830"/>
      <c r="C662" s="830">
        <v>9.14</v>
      </c>
      <c r="D662" s="830" t="s">
        <v>3231</v>
      </c>
      <c r="E662" s="7" t="s">
        <v>3263</v>
      </c>
      <c r="F662" s="831" t="s">
        <v>3301</v>
      </c>
      <c r="G662" s="831"/>
      <c r="H662" s="832" t="s">
        <v>299</v>
      </c>
      <c r="I662" s="832" t="s">
        <v>299</v>
      </c>
      <c r="J662" s="6">
        <v>1015</v>
      </c>
      <c r="K662" s="6">
        <v>1109.1179050000001</v>
      </c>
      <c r="L662" s="12">
        <v>6188.4550566415755</v>
      </c>
      <c r="M662" s="833">
        <v>5.0970000558045081</v>
      </c>
      <c r="N662" s="833">
        <v>4.5796187481452435</v>
      </c>
      <c r="O662" s="834"/>
      <c r="P662" s="835"/>
      <c r="Q662" s="6"/>
      <c r="R662" s="6"/>
      <c r="S662" s="6"/>
      <c r="T662" s="6"/>
      <c r="U662" s="831" t="s">
        <v>3302</v>
      </c>
      <c r="V662" s="836"/>
    </row>
    <row r="663" spans="2:22" s="829" customFormat="1" ht="38.25">
      <c r="B663" s="830"/>
      <c r="C663" s="830">
        <v>9.15</v>
      </c>
      <c r="D663" s="830" t="s">
        <v>3231</v>
      </c>
      <c r="E663" s="7" t="s">
        <v>3263</v>
      </c>
      <c r="F663" s="831" t="s">
        <v>3303</v>
      </c>
      <c r="G663" s="831"/>
      <c r="H663" s="832" t="s">
        <v>211</v>
      </c>
      <c r="I663" s="832" t="s">
        <v>211</v>
      </c>
      <c r="J663" s="7">
        <v>64</v>
      </c>
      <c r="K663" s="6">
        <v>69.934528</v>
      </c>
      <c r="L663" s="14">
        <v>224.97</v>
      </c>
      <c r="M663" s="833">
        <v>2.51515625</v>
      </c>
      <c r="N663" s="833">
        <v>2.2168659235106296</v>
      </c>
      <c r="O663" s="834"/>
      <c r="P663" s="835"/>
      <c r="Q663" s="6"/>
      <c r="R663" s="6"/>
      <c r="S663" s="6"/>
      <c r="T663" s="6"/>
      <c r="U663" s="831" t="s">
        <v>3304</v>
      </c>
      <c r="V663" s="836"/>
    </row>
    <row r="664" spans="2:22" s="829" customFormat="1" ht="38.25">
      <c r="B664" s="830"/>
      <c r="C664" s="830">
        <v>9.16</v>
      </c>
      <c r="D664" s="830" t="s">
        <v>3231</v>
      </c>
      <c r="E664" s="7" t="s">
        <v>3263</v>
      </c>
      <c r="F664" s="831" t="s">
        <v>3305</v>
      </c>
      <c r="G664" s="831"/>
      <c r="H664" s="832" t="s">
        <v>211</v>
      </c>
      <c r="I664" s="832" t="s">
        <v>211</v>
      </c>
      <c r="J664" s="7">
        <v>22</v>
      </c>
      <c r="K664" s="6">
        <v>24.039994</v>
      </c>
      <c r="L664" s="14">
        <v>23</v>
      </c>
      <c r="M664" s="833">
        <v>4.5454545454545456E-2</v>
      </c>
      <c r="N664" s="833">
        <v>-4.326099249442409E-2</v>
      </c>
      <c r="O664" s="834"/>
      <c r="P664" s="835"/>
      <c r="Q664" s="6"/>
      <c r="R664" s="6"/>
      <c r="S664" s="6"/>
      <c r="T664" s="6"/>
      <c r="U664" s="831" t="s">
        <v>3306</v>
      </c>
      <c r="V664" s="836"/>
    </row>
    <row r="665" spans="2:22" s="829" customFormat="1" ht="38.25">
      <c r="B665" s="830"/>
      <c r="C665" s="830">
        <v>9.17</v>
      </c>
      <c r="D665" s="830" t="s">
        <v>3231</v>
      </c>
      <c r="E665" s="7" t="s">
        <v>3263</v>
      </c>
      <c r="F665" s="831" t="s">
        <v>3307</v>
      </c>
      <c r="G665" s="831"/>
      <c r="H665" s="832" t="s">
        <v>211</v>
      </c>
      <c r="I665" s="832" t="s">
        <v>211</v>
      </c>
      <c r="J665" s="7">
        <v>13</v>
      </c>
      <c r="K665" s="6">
        <v>14.205451</v>
      </c>
      <c r="L665" s="14">
        <v>16.995000000000001</v>
      </c>
      <c r="M665" s="833">
        <v>0.30730769230769239</v>
      </c>
      <c r="N665" s="833">
        <v>0.19637173082361137</v>
      </c>
      <c r="O665" s="834"/>
      <c r="P665" s="835"/>
      <c r="Q665" s="6"/>
      <c r="R665" s="6"/>
      <c r="S665" s="6"/>
      <c r="T665" s="6"/>
      <c r="U665" s="831" t="s">
        <v>3308</v>
      </c>
      <c r="V665" s="836"/>
    </row>
    <row r="666" spans="2:22" s="829" customFormat="1" ht="38.25">
      <c r="B666" s="830"/>
      <c r="C666" s="830">
        <v>9.18</v>
      </c>
      <c r="D666" s="830" t="s">
        <v>3231</v>
      </c>
      <c r="E666" s="7" t="s">
        <v>3263</v>
      </c>
      <c r="F666" s="831" t="s">
        <v>3309</v>
      </c>
      <c r="G666" s="831" t="s">
        <v>3310</v>
      </c>
      <c r="H666" s="832" t="s">
        <v>2781</v>
      </c>
      <c r="I666" s="832" t="s">
        <v>411</v>
      </c>
      <c r="J666" s="7">
        <v>250</v>
      </c>
      <c r="K666" s="6">
        <v>273.18175000000002</v>
      </c>
      <c r="L666" s="14">
        <v>275</v>
      </c>
      <c r="M666" s="833">
        <v>0.1</v>
      </c>
      <c r="N666" s="833">
        <v>6.6558252884754473E-3</v>
      </c>
      <c r="O666" s="834"/>
      <c r="P666" s="835"/>
      <c r="Q666" s="6"/>
      <c r="R666" s="6"/>
      <c r="S666" s="6"/>
      <c r="T666" s="6"/>
      <c r="U666" s="831" t="s">
        <v>3311</v>
      </c>
      <c r="V666" s="836" t="s">
        <v>3312</v>
      </c>
    </row>
    <row r="667" spans="2:22" s="829" customFormat="1" ht="63.75">
      <c r="B667" s="830"/>
      <c r="C667" s="830">
        <v>9.19</v>
      </c>
      <c r="D667" s="830" t="s">
        <v>3231</v>
      </c>
      <c r="E667" s="7" t="s">
        <v>3263</v>
      </c>
      <c r="F667" s="831" t="s">
        <v>3313</v>
      </c>
      <c r="G667" s="831"/>
      <c r="H667" s="832" t="s">
        <v>2985</v>
      </c>
      <c r="I667" s="832" t="s">
        <v>2985</v>
      </c>
      <c r="J667" s="7">
        <v>80.8</v>
      </c>
      <c r="K667" s="6">
        <v>88.2923416</v>
      </c>
      <c r="L667" s="7">
        <v>90.335137566874323</v>
      </c>
      <c r="M667" s="833">
        <v>0.11800912830290007</v>
      </c>
      <c r="N667" s="833">
        <v>2.3136728847095417E-2</v>
      </c>
      <c r="O667" s="834"/>
      <c r="P667" s="844" t="s">
        <v>3314</v>
      </c>
      <c r="Q667" s="6"/>
      <c r="R667" s="6"/>
      <c r="S667" s="6"/>
      <c r="T667" s="6"/>
      <c r="U667" s="831" t="s">
        <v>3315</v>
      </c>
      <c r="V667" s="836"/>
    </row>
    <row r="668" spans="2:22" s="829" customFormat="1" ht="89.25">
      <c r="B668" s="830"/>
      <c r="C668" s="830">
        <v>9.1999999999999993</v>
      </c>
      <c r="D668" s="830" t="s">
        <v>3231</v>
      </c>
      <c r="E668" s="7" t="s">
        <v>3263</v>
      </c>
      <c r="F668" s="831" t="s">
        <v>3316</v>
      </c>
      <c r="G668" s="831"/>
      <c r="H668" s="832" t="s">
        <v>2985</v>
      </c>
      <c r="I668" s="832" t="s">
        <v>2985</v>
      </c>
      <c r="J668" s="7">
        <v>72.5</v>
      </c>
      <c r="K668" s="6">
        <v>79.222707499999999</v>
      </c>
      <c r="L668" s="7">
        <v>90.335137566874323</v>
      </c>
      <c r="M668" s="833">
        <v>0.24600189747412859</v>
      </c>
      <c r="N668" s="833">
        <v>0.14026824401165947</v>
      </c>
      <c r="O668" s="834"/>
      <c r="P668" s="844"/>
      <c r="Q668" s="6"/>
      <c r="R668" s="6"/>
      <c r="S668" s="6"/>
      <c r="T668" s="6"/>
      <c r="U668" s="831" t="s">
        <v>3317</v>
      </c>
      <c r="V668" s="836"/>
    </row>
    <row r="669" spans="2:22" s="829" customFormat="1" ht="25.5">
      <c r="B669" s="830"/>
      <c r="C669" s="830">
        <v>9.2100000000000009</v>
      </c>
      <c r="D669" s="830" t="s">
        <v>3231</v>
      </c>
      <c r="E669" s="7" t="s">
        <v>3263</v>
      </c>
      <c r="F669" s="831" t="s">
        <v>1284</v>
      </c>
      <c r="G669" s="831"/>
      <c r="H669" s="832" t="s">
        <v>299</v>
      </c>
      <c r="I669" s="832" t="s">
        <v>299</v>
      </c>
      <c r="J669" s="7">
        <v>4730</v>
      </c>
      <c r="K669" s="6">
        <v>5168.5987100000002</v>
      </c>
      <c r="L669" s="7">
        <v>729.79294810707802</v>
      </c>
      <c r="M669" s="833">
        <v>-0.84570973612958189</v>
      </c>
      <c r="N669" s="833">
        <v>-0.85880255189958876</v>
      </c>
      <c r="O669" s="834"/>
      <c r="P669" s="835"/>
      <c r="Q669" s="6"/>
      <c r="R669" s="6"/>
      <c r="S669" s="6"/>
      <c r="T669" s="6"/>
      <c r="U669" s="831" t="s">
        <v>3318</v>
      </c>
      <c r="V669" s="836"/>
    </row>
    <row r="670" spans="2:22" s="829" customFormat="1" ht="63.75">
      <c r="B670" s="830"/>
      <c r="C670" s="830">
        <v>9.2200000000000006</v>
      </c>
      <c r="D670" s="830" t="s">
        <v>3231</v>
      </c>
      <c r="E670" s="7" t="s">
        <v>3263</v>
      </c>
      <c r="F670" s="831" t="s">
        <v>3319</v>
      </c>
      <c r="G670" s="831"/>
      <c r="H670" s="832" t="s">
        <v>219</v>
      </c>
      <c r="I670" s="832" t="s">
        <v>219</v>
      </c>
      <c r="J670" s="7">
        <v>4.8624999999999998</v>
      </c>
      <c r="K670" s="6">
        <v>5.3133850374999998</v>
      </c>
      <c r="L670" s="14">
        <v>5.1763560743984129</v>
      </c>
      <c r="M670" s="833">
        <v>6.4546236380136374E-2</v>
      </c>
      <c r="N670" s="833">
        <v>-2.5789390780921146E-2</v>
      </c>
      <c r="O670" s="834"/>
      <c r="P670" s="835"/>
      <c r="Q670" s="6"/>
      <c r="R670" s="6"/>
      <c r="S670" s="6"/>
      <c r="T670" s="6"/>
      <c r="U670" s="831" t="s">
        <v>3320</v>
      </c>
      <c r="V670" s="836"/>
    </row>
    <row r="671" spans="2:22" s="829" customFormat="1" ht="48.6" customHeight="1">
      <c r="B671" s="830"/>
      <c r="C671" s="830">
        <v>9.23</v>
      </c>
      <c r="D671" s="830" t="s">
        <v>3231</v>
      </c>
      <c r="E671" s="7" t="s">
        <v>3263</v>
      </c>
      <c r="F671" s="831" t="s">
        <v>3321</v>
      </c>
      <c r="G671" s="831"/>
      <c r="H671" s="832" t="s">
        <v>299</v>
      </c>
      <c r="I671" s="832" t="s">
        <v>299</v>
      </c>
      <c r="J671" s="7">
        <v>747.5</v>
      </c>
      <c r="K671" s="6">
        <v>816.81343249999998</v>
      </c>
      <c r="L671" s="7"/>
      <c r="M671" s="833">
        <v>-1</v>
      </c>
      <c r="N671" s="833">
        <v>-1</v>
      </c>
      <c r="O671" s="834"/>
      <c r="P671" s="844"/>
      <c r="Q671" s="6"/>
      <c r="R671" s="6"/>
      <c r="S671" s="6"/>
      <c r="T671" s="6"/>
      <c r="U671" s="831" t="s">
        <v>3322</v>
      </c>
      <c r="V671" s="836"/>
    </row>
    <row r="672" spans="2:22" s="829" customFormat="1" ht="38.25">
      <c r="B672" s="830"/>
      <c r="C672" s="830" t="s">
        <v>3323</v>
      </c>
      <c r="D672" s="830" t="s">
        <v>3231</v>
      </c>
      <c r="E672" s="7" t="s">
        <v>3263</v>
      </c>
      <c r="F672" s="831" t="s">
        <v>3324</v>
      </c>
      <c r="G672" s="831"/>
      <c r="H672" s="832" t="s">
        <v>215</v>
      </c>
      <c r="I672" s="832" t="s">
        <v>215</v>
      </c>
      <c r="J672" s="7">
        <v>2.5</v>
      </c>
      <c r="K672" s="6">
        <v>2.7318175</v>
      </c>
      <c r="L672" s="7"/>
      <c r="M672" s="833">
        <v>-1</v>
      </c>
      <c r="N672" s="833">
        <v>-1</v>
      </c>
      <c r="O672" s="834"/>
      <c r="P672" s="844"/>
      <c r="Q672" s="6"/>
      <c r="R672" s="6"/>
      <c r="S672" s="6"/>
      <c r="T672" s="6"/>
      <c r="U672" s="831" t="s">
        <v>3325</v>
      </c>
      <c r="V672" s="836"/>
    </row>
    <row r="673" spans="2:22" s="816" customFormat="1" ht="15.75" customHeight="1">
      <c r="B673" s="827"/>
      <c r="C673" s="827" t="s">
        <v>3326</v>
      </c>
      <c r="D673" s="827"/>
      <c r="E673" s="827"/>
      <c r="F673" s="827"/>
      <c r="G673" s="827"/>
      <c r="H673" s="827"/>
      <c r="I673" s="827"/>
      <c r="J673" s="827"/>
      <c r="K673" s="827"/>
      <c r="L673" s="827"/>
      <c r="M673" s="827"/>
      <c r="N673" s="827"/>
      <c r="O673" s="847"/>
      <c r="P673" s="847"/>
      <c r="Q673" s="847"/>
      <c r="R673" s="847"/>
      <c r="S673" s="847"/>
      <c r="T673" s="847"/>
      <c r="U673" s="847"/>
      <c r="V673" s="847"/>
    </row>
    <row r="674" spans="2:22" s="829" customFormat="1" ht="76.5">
      <c r="B674" s="830"/>
      <c r="C674" s="830">
        <v>10.01</v>
      </c>
      <c r="D674" s="830" t="s">
        <v>522</v>
      </c>
      <c r="E674" s="6" t="s">
        <v>89</v>
      </c>
      <c r="F674" s="831" t="s">
        <v>3327</v>
      </c>
      <c r="G674" s="831"/>
      <c r="H674" s="832" t="s">
        <v>935</v>
      </c>
      <c r="I674" s="6"/>
      <c r="J674" s="6">
        <v>3600</v>
      </c>
      <c r="K674" s="6">
        <v>3933.8172</v>
      </c>
      <c r="L674" s="6">
        <v>4923.0089355761465</v>
      </c>
      <c r="M674" s="833">
        <v>0.36750248210448516</v>
      </c>
      <c r="N674" s="833">
        <v>0.25145849064266296</v>
      </c>
      <c r="O674" s="834"/>
      <c r="P674" s="835"/>
      <c r="Q674" s="6"/>
      <c r="R674" s="6"/>
      <c r="S674" s="6"/>
      <c r="T674" s="6"/>
      <c r="U674" s="831" t="s">
        <v>3328</v>
      </c>
      <c r="V674" s="836"/>
    </row>
    <row r="675" spans="2:22" s="829" customFormat="1" ht="76.5">
      <c r="B675" s="830"/>
      <c r="C675" s="830">
        <v>10.02</v>
      </c>
      <c r="D675" s="830" t="s">
        <v>522</v>
      </c>
      <c r="E675" s="6" t="s">
        <v>89</v>
      </c>
      <c r="F675" s="831" t="s">
        <v>3329</v>
      </c>
      <c r="G675" s="831"/>
      <c r="H675" s="832" t="s">
        <v>935</v>
      </c>
      <c r="I675" s="6"/>
      <c r="J675" s="6">
        <v>1500</v>
      </c>
      <c r="K675" s="6">
        <v>1639.0905</v>
      </c>
      <c r="L675" s="12">
        <v>3546.7689314936579</v>
      </c>
      <c r="M675" s="833">
        <v>1.3645126209957719</v>
      </c>
      <c r="N675" s="833">
        <v>1.1638640035395591</v>
      </c>
      <c r="O675" s="834"/>
      <c r="P675" s="835"/>
      <c r="Q675" s="6"/>
      <c r="R675" s="6"/>
      <c r="S675" s="6"/>
      <c r="T675" s="6"/>
      <c r="U675" s="831" t="s">
        <v>3328</v>
      </c>
      <c r="V675" s="836"/>
    </row>
    <row r="676" spans="2:22" s="829" customFormat="1" ht="76.5">
      <c r="B676" s="830"/>
      <c r="C676" s="830" t="s">
        <v>3330</v>
      </c>
      <c r="D676" s="830"/>
      <c r="E676" s="6" t="s">
        <v>2924</v>
      </c>
      <c r="F676" s="831" t="s">
        <v>3331</v>
      </c>
      <c r="G676" s="831"/>
      <c r="H676" s="832" t="s">
        <v>2781</v>
      </c>
      <c r="I676" s="6"/>
      <c r="J676" s="6">
        <v>2500</v>
      </c>
      <c r="K676" s="6">
        <v>2731.8175000000001</v>
      </c>
      <c r="L676" s="6">
        <v>2716.0659319577553</v>
      </c>
      <c r="M676" s="833">
        <v>8.6426372783102126E-2</v>
      </c>
      <c r="N676" s="833">
        <v>-5.7659664462376414E-3</v>
      </c>
      <c r="O676" s="834"/>
      <c r="P676" s="835"/>
      <c r="Q676" s="6"/>
      <c r="R676" s="6"/>
      <c r="S676" s="6"/>
      <c r="T676" s="6"/>
      <c r="U676" s="831" t="s">
        <v>3332</v>
      </c>
      <c r="V676" s="836"/>
    </row>
    <row r="677" spans="2:22" s="829" customFormat="1" ht="63.75">
      <c r="B677" s="830"/>
      <c r="C677" s="830" t="s">
        <v>3333</v>
      </c>
      <c r="D677" s="830"/>
      <c r="E677" s="6" t="s">
        <v>2924</v>
      </c>
      <c r="F677" s="831" t="s">
        <v>3334</v>
      </c>
      <c r="G677" s="831"/>
      <c r="H677" s="832" t="s">
        <v>2781</v>
      </c>
      <c r="I677" s="6"/>
      <c r="J677" s="6">
        <v>10500</v>
      </c>
      <c r="K677" s="6">
        <v>11473.6335</v>
      </c>
      <c r="L677" s="6">
        <v>11785.763411499132</v>
      </c>
      <c r="M677" s="833">
        <v>0.12245365823801262</v>
      </c>
      <c r="N677" s="833">
        <v>2.7204103346959139E-2</v>
      </c>
      <c r="O677" s="834"/>
      <c r="P677" s="835"/>
      <c r="Q677" s="6"/>
      <c r="R677" s="6"/>
      <c r="S677" s="6"/>
      <c r="T677" s="6"/>
      <c r="U677" s="831" t="s">
        <v>3335</v>
      </c>
      <c r="V677" s="836"/>
    </row>
    <row r="678" spans="2:22" s="829" customFormat="1" ht="38.25" hidden="1" outlineLevel="1">
      <c r="B678" s="830"/>
      <c r="C678" s="830"/>
      <c r="D678" s="830" t="s">
        <v>3336</v>
      </c>
      <c r="E678" s="6" t="s">
        <v>89</v>
      </c>
      <c r="F678" s="831" t="s">
        <v>1371</v>
      </c>
      <c r="G678" s="831"/>
      <c r="H678" s="832"/>
      <c r="I678" s="6" t="s">
        <v>1372</v>
      </c>
      <c r="J678" s="6" t="s">
        <v>2783</v>
      </c>
      <c r="K678" s="6" t="s">
        <v>2783</v>
      </c>
      <c r="L678" s="6">
        <v>8311.1885324242903</v>
      </c>
      <c r="M678" s="833" t="s">
        <v>2810</v>
      </c>
      <c r="N678" s="833" t="s">
        <v>2810</v>
      </c>
      <c r="O678" s="834"/>
      <c r="P678" s="835"/>
      <c r="Q678" s="6"/>
      <c r="R678" s="6"/>
      <c r="S678" s="6"/>
      <c r="T678" s="6"/>
      <c r="U678" s="831"/>
      <c r="V678" s="836"/>
    </row>
    <row r="679" spans="2:22" s="829" customFormat="1" ht="38.25" hidden="1" outlineLevel="1">
      <c r="B679" s="830"/>
      <c r="C679" s="830"/>
      <c r="D679" s="830" t="s">
        <v>3336</v>
      </c>
      <c r="E679" s="6" t="s">
        <v>89</v>
      </c>
      <c r="F679" s="831" t="s">
        <v>1375</v>
      </c>
      <c r="G679" s="831"/>
      <c r="H679" s="832"/>
      <c r="I679" s="6" t="s">
        <v>1372</v>
      </c>
      <c r="J679" s="6" t="s">
        <v>2783</v>
      </c>
      <c r="K679" s="6" t="s">
        <v>2783</v>
      </c>
      <c r="L679" s="6">
        <v>23015.620000160037</v>
      </c>
      <c r="M679" s="833" t="s">
        <v>2810</v>
      </c>
      <c r="N679" s="833" t="s">
        <v>2810</v>
      </c>
      <c r="O679" s="834"/>
      <c r="P679" s="835"/>
      <c r="Q679" s="6"/>
      <c r="R679" s="6"/>
      <c r="S679" s="6"/>
      <c r="T679" s="6"/>
      <c r="U679" s="831"/>
      <c r="V679" s="836"/>
    </row>
    <row r="680" spans="2:22" s="829" customFormat="1" ht="38.25" hidden="1" outlineLevel="1">
      <c r="B680" s="830"/>
      <c r="C680" s="830"/>
      <c r="D680" s="830" t="s">
        <v>3336</v>
      </c>
      <c r="E680" s="6" t="s">
        <v>89</v>
      </c>
      <c r="F680" s="831" t="s">
        <v>1376</v>
      </c>
      <c r="G680" s="831"/>
      <c r="H680" s="832"/>
      <c r="I680" s="6" t="s">
        <v>1372</v>
      </c>
      <c r="J680" s="6" t="s">
        <v>2783</v>
      </c>
      <c r="K680" s="6" t="s">
        <v>2783</v>
      </c>
      <c r="L680" s="6">
        <v>48024.414223523665</v>
      </c>
      <c r="M680" s="833" t="s">
        <v>2810</v>
      </c>
      <c r="N680" s="833" t="s">
        <v>2810</v>
      </c>
      <c r="O680" s="834"/>
      <c r="P680" s="835"/>
      <c r="Q680" s="6"/>
      <c r="R680" s="6"/>
      <c r="S680" s="6"/>
      <c r="T680" s="6"/>
      <c r="U680" s="831"/>
      <c r="V680" s="836"/>
    </row>
    <row r="681" spans="2:22" s="829" customFormat="1" ht="38.25" hidden="1" outlineLevel="1">
      <c r="B681" s="830"/>
      <c r="C681" s="830"/>
      <c r="D681" s="830" t="s">
        <v>3336</v>
      </c>
      <c r="E681" s="6" t="s">
        <v>89</v>
      </c>
      <c r="F681" s="831" t="s">
        <v>1377</v>
      </c>
      <c r="G681" s="831"/>
      <c r="H681" s="832"/>
      <c r="I681" s="6" t="s">
        <v>1372</v>
      </c>
      <c r="J681" s="6" t="s">
        <v>2783</v>
      </c>
      <c r="K681" s="6" t="s">
        <v>2783</v>
      </c>
      <c r="L681" s="6">
        <v>70688.560117238143</v>
      </c>
      <c r="M681" s="833" t="s">
        <v>2810</v>
      </c>
      <c r="N681" s="833" t="s">
        <v>2810</v>
      </c>
      <c r="O681" s="834"/>
      <c r="P681" s="835"/>
      <c r="Q681" s="6"/>
      <c r="R681" s="6"/>
      <c r="S681" s="6"/>
      <c r="T681" s="6"/>
      <c r="U681" s="831"/>
      <c r="V681" s="836"/>
    </row>
    <row r="682" spans="2:22" s="829" customFormat="1" ht="38.25" hidden="1" outlineLevel="1">
      <c r="B682" s="830"/>
      <c r="C682" s="830"/>
      <c r="D682" s="830" t="s">
        <v>3336</v>
      </c>
      <c r="E682" s="6" t="s">
        <v>89</v>
      </c>
      <c r="F682" s="831" t="s">
        <v>1378</v>
      </c>
      <c r="G682" s="831"/>
      <c r="H682" s="832"/>
      <c r="I682" s="6" t="s">
        <v>1372</v>
      </c>
      <c r="J682" s="6" t="s">
        <v>2783</v>
      </c>
      <c r="K682" s="6" t="s">
        <v>2783</v>
      </c>
      <c r="L682" s="6">
        <v>113746.28141057401</v>
      </c>
      <c r="M682" s="833" t="s">
        <v>2810</v>
      </c>
      <c r="N682" s="833" t="s">
        <v>2810</v>
      </c>
      <c r="O682" s="834"/>
      <c r="P682" s="835"/>
      <c r="Q682" s="6"/>
      <c r="R682" s="6"/>
      <c r="S682" s="6"/>
      <c r="T682" s="6"/>
      <c r="U682" s="831"/>
      <c r="V682" s="836"/>
    </row>
    <row r="683" spans="2:22" s="829" customFormat="1" ht="38.25" hidden="1" outlineLevel="1">
      <c r="B683" s="830"/>
      <c r="C683" s="830"/>
      <c r="D683" s="830" t="s">
        <v>3336</v>
      </c>
      <c r="E683" s="6" t="s">
        <v>89</v>
      </c>
      <c r="F683" s="831" t="s">
        <v>1379</v>
      </c>
      <c r="G683" s="831"/>
      <c r="H683" s="832"/>
      <c r="I683" s="6" t="s">
        <v>1372</v>
      </c>
      <c r="J683" s="6" t="s">
        <v>2783</v>
      </c>
      <c r="K683" s="6" t="s">
        <v>2783</v>
      </c>
      <c r="L683" s="6">
        <v>251331.38387292012</v>
      </c>
      <c r="M683" s="833" t="s">
        <v>2810</v>
      </c>
      <c r="N683" s="833" t="s">
        <v>2810</v>
      </c>
      <c r="O683" s="834"/>
      <c r="P683" s="835"/>
      <c r="Q683" s="6"/>
      <c r="R683" s="6"/>
      <c r="S683" s="6"/>
      <c r="T683" s="6"/>
      <c r="U683" s="831"/>
      <c r="V683" s="836"/>
    </row>
    <row r="684" spans="2:22" s="829" customFormat="1" ht="38.25" hidden="1" outlineLevel="1">
      <c r="B684" s="830"/>
      <c r="C684" s="830"/>
      <c r="D684" s="830" t="s">
        <v>3336</v>
      </c>
      <c r="E684" s="6" t="s">
        <v>89</v>
      </c>
      <c r="F684" s="831" t="s">
        <v>1380</v>
      </c>
      <c r="G684" s="831"/>
      <c r="H684" s="832"/>
      <c r="I684" s="6" t="s">
        <v>1372</v>
      </c>
      <c r="J684" s="6" t="s">
        <v>2783</v>
      </c>
      <c r="K684" s="6" t="s">
        <v>2783</v>
      </c>
      <c r="L684" s="6">
        <v>519655.84591479518</v>
      </c>
      <c r="M684" s="833" t="s">
        <v>2810</v>
      </c>
      <c r="N684" s="833" t="s">
        <v>2810</v>
      </c>
      <c r="O684" s="834"/>
      <c r="P684" s="835"/>
      <c r="Q684" s="6"/>
      <c r="R684" s="6"/>
      <c r="S684" s="6"/>
      <c r="T684" s="6"/>
      <c r="U684" s="831"/>
      <c r="V684" s="836"/>
    </row>
    <row r="685" spans="2:22" s="829" customFormat="1" ht="38.25" hidden="1" outlineLevel="1">
      <c r="B685" s="830"/>
      <c r="C685" s="830"/>
      <c r="D685" s="830" t="s">
        <v>3336</v>
      </c>
      <c r="E685" s="6" t="s">
        <v>89</v>
      </c>
      <c r="F685" s="831" t="s">
        <v>1381</v>
      </c>
      <c r="G685" s="831"/>
      <c r="H685" s="832"/>
      <c r="I685" s="6" t="s">
        <v>1372</v>
      </c>
      <c r="J685" s="6" t="s">
        <v>2783</v>
      </c>
      <c r="K685" s="6" t="s">
        <v>2783</v>
      </c>
      <c r="L685" s="6">
        <v>1130035.4288035473</v>
      </c>
      <c r="M685" s="833" t="s">
        <v>2810</v>
      </c>
      <c r="N685" s="833" t="s">
        <v>2810</v>
      </c>
      <c r="O685" s="834"/>
      <c r="P685" s="835"/>
      <c r="Q685" s="6"/>
      <c r="R685" s="6"/>
      <c r="S685" s="6"/>
      <c r="T685" s="6"/>
      <c r="U685" s="831"/>
      <c r="V685" s="836"/>
    </row>
    <row r="686" spans="2:22" s="829" customFormat="1" ht="38.25" hidden="1" outlineLevel="1">
      <c r="B686" s="830"/>
      <c r="C686" s="830"/>
      <c r="D686" s="830" t="s">
        <v>3336</v>
      </c>
      <c r="E686" s="6" t="s">
        <v>89</v>
      </c>
      <c r="F686" s="831" t="s">
        <v>1382</v>
      </c>
      <c r="G686" s="831"/>
      <c r="H686" s="832"/>
      <c r="I686" s="6" t="s">
        <v>1372</v>
      </c>
      <c r="J686" s="6" t="s">
        <v>2783</v>
      </c>
      <c r="K686" s="6" t="s">
        <v>2783</v>
      </c>
      <c r="L686" s="6">
        <v>2997034.1236815853</v>
      </c>
      <c r="M686" s="833" t="s">
        <v>2810</v>
      </c>
      <c r="N686" s="833" t="s">
        <v>2810</v>
      </c>
      <c r="O686" s="834"/>
      <c r="P686" s="835"/>
      <c r="Q686" s="6"/>
      <c r="R686" s="6"/>
      <c r="S686" s="6"/>
      <c r="T686" s="6"/>
      <c r="U686" s="831"/>
      <c r="V686" s="836"/>
    </row>
    <row r="687" spans="2:22" s="829" customFormat="1" ht="38.25" hidden="1" outlineLevel="1">
      <c r="B687" s="830"/>
      <c r="C687" s="830"/>
      <c r="D687" s="830" t="s">
        <v>3336</v>
      </c>
      <c r="E687" s="6" t="s">
        <v>89</v>
      </c>
      <c r="F687" s="831" t="s">
        <v>1383</v>
      </c>
      <c r="G687" s="831"/>
      <c r="H687" s="832"/>
      <c r="I687" s="6" t="s">
        <v>1372</v>
      </c>
      <c r="J687" s="6" t="s">
        <v>2783</v>
      </c>
      <c r="K687" s="6" t="s">
        <v>2783</v>
      </c>
      <c r="L687" s="6">
        <v>8417.8326215955876</v>
      </c>
      <c r="M687" s="833" t="s">
        <v>2810</v>
      </c>
      <c r="N687" s="833" t="s">
        <v>2810</v>
      </c>
      <c r="O687" s="834"/>
      <c r="P687" s="835"/>
      <c r="Q687" s="6"/>
      <c r="R687" s="6"/>
      <c r="S687" s="6"/>
      <c r="T687" s="6"/>
      <c r="U687" s="831"/>
      <c r="V687" s="836"/>
    </row>
    <row r="688" spans="2:22" s="829" customFormat="1" ht="38.25" hidden="1" outlineLevel="1">
      <c r="B688" s="830"/>
      <c r="C688" s="830"/>
      <c r="D688" s="830" t="s">
        <v>3336</v>
      </c>
      <c r="E688" s="6" t="s">
        <v>89</v>
      </c>
      <c r="F688" s="831" t="s">
        <v>1384</v>
      </c>
      <c r="G688" s="831"/>
      <c r="H688" s="832"/>
      <c r="I688" s="6" t="s">
        <v>1372</v>
      </c>
      <c r="J688" s="6" t="s">
        <v>2783</v>
      </c>
      <c r="K688" s="6" t="s">
        <v>2783</v>
      </c>
      <c r="L688" s="6">
        <v>23373.565314318119</v>
      </c>
      <c r="M688" s="833" t="s">
        <v>2810</v>
      </c>
      <c r="N688" s="833" t="s">
        <v>2810</v>
      </c>
      <c r="O688" s="834"/>
      <c r="P688" s="835"/>
      <c r="Q688" s="6"/>
      <c r="R688" s="6"/>
      <c r="S688" s="6"/>
      <c r="T688" s="6"/>
      <c r="U688" s="831"/>
      <c r="V688" s="836"/>
    </row>
    <row r="689" spans="2:22" s="829" customFormat="1" ht="38.25" hidden="1" outlineLevel="1">
      <c r="B689" s="830"/>
      <c r="C689" s="830"/>
      <c r="D689" s="830" t="s">
        <v>3336</v>
      </c>
      <c r="E689" s="6" t="s">
        <v>89</v>
      </c>
      <c r="F689" s="831" t="s">
        <v>1385</v>
      </c>
      <c r="G689" s="831"/>
      <c r="H689" s="832"/>
      <c r="I689" s="6" t="s">
        <v>1372</v>
      </c>
      <c r="J689" s="6" t="s">
        <v>2783</v>
      </c>
      <c r="K689" s="6" t="s">
        <v>2783</v>
      </c>
      <c r="L689" s="6">
        <v>48747.022540808655</v>
      </c>
      <c r="M689" s="833" t="s">
        <v>2810</v>
      </c>
      <c r="N689" s="833" t="s">
        <v>2810</v>
      </c>
      <c r="O689" s="834"/>
      <c r="P689" s="835"/>
      <c r="Q689" s="6"/>
      <c r="R689" s="6"/>
      <c r="S689" s="6"/>
      <c r="T689" s="6"/>
      <c r="U689" s="831"/>
      <c r="V689" s="836"/>
    </row>
    <row r="690" spans="2:22" s="829" customFormat="1" ht="38.25" hidden="1" outlineLevel="1">
      <c r="B690" s="830"/>
      <c r="C690" s="830"/>
      <c r="D690" s="830" t="s">
        <v>3336</v>
      </c>
      <c r="E690" s="6" t="s">
        <v>89</v>
      </c>
      <c r="F690" s="831" t="s">
        <v>1386</v>
      </c>
      <c r="G690" s="831"/>
      <c r="H690" s="832"/>
      <c r="I690" s="6" t="s">
        <v>1372</v>
      </c>
      <c r="J690" s="6" t="s">
        <v>2783</v>
      </c>
      <c r="K690" s="6" t="s">
        <v>2783</v>
      </c>
      <c r="L690" s="6">
        <v>71690.323832849928</v>
      </c>
      <c r="M690" s="833" t="s">
        <v>2810</v>
      </c>
      <c r="N690" s="833" t="s">
        <v>2810</v>
      </c>
      <c r="O690" s="834"/>
      <c r="P690" s="835"/>
      <c r="Q690" s="6"/>
      <c r="R690" s="6"/>
      <c r="S690" s="6"/>
      <c r="T690" s="6"/>
      <c r="U690" s="831"/>
      <c r="V690" s="836"/>
    </row>
    <row r="691" spans="2:22" s="829" customFormat="1" ht="38.25" hidden="1" outlineLevel="1">
      <c r="B691" s="830"/>
      <c r="C691" s="830"/>
      <c r="D691" s="830" t="s">
        <v>3336</v>
      </c>
      <c r="E691" s="6" t="s">
        <v>89</v>
      </c>
      <c r="F691" s="831" t="s">
        <v>1387</v>
      </c>
      <c r="G691" s="831"/>
      <c r="H691" s="832"/>
      <c r="I691" s="6" t="s">
        <v>1372</v>
      </c>
      <c r="J691" s="6" t="s">
        <v>2783</v>
      </c>
      <c r="K691" s="6" t="s">
        <v>2783</v>
      </c>
      <c r="L691" s="6">
        <v>115250.54659332334</v>
      </c>
      <c r="M691" s="833" t="s">
        <v>2810</v>
      </c>
      <c r="N691" s="833" t="s">
        <v>2810</v>
      </c>
      <c r="O691" s="834"/>
      <c r="P691" s="835"/>
      <c r="Q691" s="6"/>
      <c r="R691" s="6"/>
      <c r="S691" s="6"/>
      <c r="T691" s="6"/>
      <c r="U691" s="831"/>
      <c r="V691" s="836"/>
    </row>
    <row r="692" spans="2:22" s="829" customFormat="1" ht="25.5" hidden="1" outlineLevel="1">
      <c r="B692" s="830"/>
      <c r="C692" s="830"/>
      <c r="D692" s="830" t="s">
        <v>3336</v>
      </c>
      <c r="E692" s="6"/>
      <c r="F692" s="831" t="s">
        <v>1388</v>
      </c>
      <c r="G692" s="831"/>
      <c r="H692" s="832"/>
      <c r="I692" s="6" t="s">
        <v>1372</v>
      </c>
      <c r="J692" s="6" t="s">
        <v>2783</v>
      </c>
      <c r="K692" s="6" t="s">
        <v>2783</v>
      </c>
      <c r="L692" s="6">
        <v>254376.40477461211</v>
      </c>
      <c r="M692" s="833" t="s">
        <v>2810</v>
      </c>
      <c r="N692" s="833" t="s">
        <v>2810</v>
      </c>
      <c r="O692" s="834"/>
      <c r="P692" s="835"/>
      <c r="Q692" s="6"/>
      <c r="R692" s="6"/>
      <c r="S692" s="6"/>
      <c r="T692" s="6"/>
      <c r="U692" s="831"/>
      <c r="V692" s="836"/>
    </row>
    <row r="693" spans="2:22" s="829" customFormat="1" ht="25.5" hidden="1" outlineLevel="1">
      <c r="B693" s="830"/>
      <c r="C693" s="830"/>
      <c r="D693" s="830" t="s">
        <v>3336</v>
      </c>
      <c r="E693" s="6"/>
      <c r="F693" s="831" t="s">
        <v>1389</v>
      </c>
      <c r="G693" s="831"/>
      <c r="H693" s="832"/>
      <c r="I693" s="6" t="s">
        <v>1372</v>
      </c>
      <c r="J693" s="6" t="s">
        <v>2783</v>
      </c>
      <c r="K693" s="6" t="s">
        <v>2783</v>
      </c>
      <c r="L693" s="6">
        <v>525478.82074211573</v>
      </c>
      <c r="M693" s="833" t="s">
        <v>2810</v>
      </c>
      <c r="N693" s="833" t="s">
        <v>2810</v>
      </c>
      <c r="O693" s="834"/>
      <c r="P693" s="835"/>
      <c r="Q693" s="6"/>
      <c r="R693" s="6"/>
      <c r="S693" s="6"/>
      <c r="T693" s="6"/>
      <c r="U693" s="831"/>
      <c r="V693" s="836"/>
    </row>
    <row r="694" spans="2:22" s="829" customFormat="1" ht="25.5" hidden="1" outlineLevel="1">
      <c r="B694" s="830"/>
      <c r="C694" s="830"/>
      <c r="D694" s="830" t="s">
        <v>3336</v>
      </c>
      <c r="E694" s="6"/>
      <c r="F694" s="831" t="s">
        <v>1390</v>
      </c>
      <c r="G694" s="831"/>
      <c r="H694" s="832"/>
      <c r="I694" s="6" t="s">
        <v>1372</v>
      </c>
      <c r="J694" s="6" t="s">
        <v>2783</v>
      </c>
      <c r="K694" s="6" t="s">
        <v>2783</v>
      </c>
      <c r="L694" s="6">
        <v>1146696.5423833744</v>
      </c>
      <c r="M694" s="833" t="s">
        <v>2810</v>
      </c>
      <c r="N694" s="833" t="s">
        <v>2810</v>
      </c>
      <c r="O694" s="834"/>
      <c r="P694" s="835"/>
      <c r="Q694" s="6"/>
      <c r="R694" s="6"/>
      <c r="S694" s="6"/>
      <c r="T694" s="6"/>
      <c r="U694" s="831"/>
      <c r="V694" s="836"/>
    </row>
    <row r="695" spans="2:22" s="829" customFormat="1" ht="25.5" hidden="1" outlineLevel="1">
      <c r="B695" s="830"/>
      <c r="C695" s="830"/>
      <c r="D695" s="830" t="s">
        <v>3336</v>
      </c>
      <c r="E695" s="6"/>
      <c r="F695" s="831" t="s">
        <v>1391</v>
      </c>
      <c r="G695" s="831"/>
      <c r="H695" s="832"/>
      <c r="I695" s="6" t="s">
        <v>1372</v>
      </c>
      <c r="J695" s="6" t="s">
        <v>2783</v>
      </c>
      <c r="K695" s="6" t="s">
        <v>2783</v>
      </c>
      <c r="L695" s="6">
        <v>3037601.4146443768</v>
      </c>
      <c r="M695" s="833" t="s">
        <v>2810</v>
      </c>
      <c r="N695" s="833" t="s">
        <v>2810</v>
      </c>
      <c r="O695" s="834"/>
      <c r="P695" s="835"/>
      <c r="Q695" s="6"/>
      <c r="R695" s="6"/>
      <c r="S695" s="6"/>
      <c r="T695" s="6"/>
      <c r="U695" s="831"/>
      <c r="V695" s="836"/>
    </row>
    <row r="696" spans="2:22" s="829" customFormat="1" ht="25.5" hidden="1" outlineLevel="1">
      <c r="B696" s="830"/>
      <c r="C696" s="830"/>
      <c r="D696" s="830" t="s">
        <v>3336</v>
      </c>
      <c r="E696" s="6"/>
      <c r="F696" s="831" t="s">
        <v>1392</v>
      </c>
      <c r="G696" s="831"/>
      <c r="H696" s="832"/>
      <c r="I696" s="6" t="s">
        <v>1372</v>
      </c>
      <c r="J696" s="6" t="s">
        <v>2783</v>
      </c>
      <c r="K696" s="6" t="s">
        <v>2783</v>
      </c>
      <c r="L696" s="6">
        <v>7698.5287534689141</v>
      </c>
      <c r="M696" s="833" t="s">
        <v>2810</v>
      </c>
      <c r="N696" s="833" t="s">
        <v>2810</v>
      </c>
      <c r="O696" s="834"/>
      <c r="P696" s="835"/>
      <c r="Q696" s="6"/>
      <c r="R696" s="6"/>
      <c r="S696" s="6"/>
      <c r="T696" s="6"/>
      <c r="U696" s="831"/>
      <c r="V696" s="836"/>
    </row>
    <row r="697" spans="2:22" s="829" customFormat="1" ht="25.5" hidden="1" outlineLevel="1">
      <c r="B697" s="830"/>
      <c r="C697" s="830"/>
      <c r="D697" s="830" t="s">
        <v>3336</v>
      </c>
      <c r="E697" s="6"/>
      <c r="F697" s="831" t="s">
        <v>1393</v>
      </c>
      <c r="G697" s="831"/>
      <c r="H697" s="832"/>
      <c r="I697" s="6" t="s">
        <v>1372</v>
      </c>
      <c r="J697" s="6" t="s">
        <v>2783</v>
      </c>
      <c r="K697" s="6" t="s">
        <v>2783</v>
      </c>
      <c r="L697" s="6">
        <v>20959.259457777331</v>
      </c>
      <c r="M697" s="833" t="s">
        <v>2810</v>
      </c>
      <c r="N697" s="833" t="s">
        <v>2810</v>
      </c>
      <c r="O697" s="834"/>
      <c r="P697" s="835"/>
      <c r="Q697" s="6"/>
      <c r="R697" s="6"/>
      <c r="S697" s="6"/>
      <c r="T697" s="6"/>
      <c r="U697" s="831"/>
      <c r="V697" s="836"/>
    </row>
    <row r="698" spans="2:22" s="829" customFormat="1" ht="25.5" hidden="1" outlineLevel="1">
      <c r="B698" s="830"/>
      <c r="C698" s="830"/>
      <c r="D698" s="830" t="s">
        <v>3336</v>
      </c>
      <c r="E698" s="6"/>
      <c r="F698" s="831" t="s">
        <v>905</v>
      </c>
      <c r="G698" s="831"/>
      <c r="H698" s="832"/>
      <c r="I698" s="6" t="s">
        <v>1372</v>
      </c>
      <c r="J698" s="6" t="s">
        <v>2783</v>
      </c>
      <c r="K698" s="6" t="s">
        <v>2783</v>
      </c>
      <c r="L698" s="6">
        <v>43873.100677884708</v>
      </c>
      <c r="M698" s="833" t="s">
        <v>2810</v>
      </c>
      <c r="N698" s="833" t="s">
        <v>2810</v>
      </c>
      <c r="O698" s="834"/>
      <c r="P698" s="835"/>
      <c r="Q698" s="6"/>
      <c r="R698" s="6"/>
      <c r="S698" s="6"/>
      <c r="T698" s="6"/>
      <c r="U698" s="831"/>
      <c r="V698" s="836"/>
    </row>
    <row r="699" spans="2:22" s="829" customFormat="1" ht="25.5" hidden="1" outlineLevel="1">
      <c r="B699" s="830"/>
      <c r="C699" s="830"/>
      <c r="D699" s="830" t="s">
        <v>3336</v>
      </c>
      <c r="E699" s="6"/>
      <c r="F699" s="831" t="s">
        <v>1394</v>
      </c>
      <c r="G699" s="831"/>
      <c r="H699" s="832"/>
      <c r="I699" s="6" t="s">
        <v>1372</v>
      </c>
      <c r="J699" s="6" t="s">
        <v>2783</v>
      </c>
      <c r="K699" s="6" t="s">
        <v>2783</v>
      </c>
      <c r="L699" s="6">
        <v>64933.526328291737</v>
      </c>
      <c r="M699" s="833" t="s">
        <v>2810</v>
      </c>
      <c r="N699" s="833" t="s">
        <v>2810</v>
      </c>
      <c r="O699" s="834"/>
      <c r="P699" s="835"/>
      <c r="Q699" s="6"/>
      <c r="R699" s="6"/>
      <c r="S699" s="6"/>
      <c r="T699" s="6"/>
      <c r="U699" s="831"/>
      <c r="V699" s="836"/>
    </row>
    <row r="700" spans="2:22" s="829" customFormat="1" ht="25.5" hidden="1" outlineLevel="1">
      <c r="B700" s="830"/>
      <c r="C700" s="830"/>
      <c r="D700" s="830" t="s">
        <v>3336</v>
      </c>
      <c r="E700" s="6"/>
      <c r="F700" s="831" t="s">
        <v>1395</v>
      </c>
      <c r="G700" s="831"/>
      <c r="H700" s="832"/>
      <c r="I700" s="6" t="s">
        <v>1372</v>
      </c>
      <c r="J700" s="6" t="s">
        <v>2783</v>
      </c>
      <c r="K700" s="6" t="s">
        <v>2783</v>
      </c>
      <c r="L700" s="6">
        <v>105104.42623121067</v>
      </c>
      <c r="M700" s="833" t="s">
        <v>2810</v>
      </c>
      <c r="N700" s="833" t="s">
        <v>2810</v>
      </c>
      <c r="O700" s="834"/>
      <c r="P700" s="835"/>
      <c r="Q700" s="6"/>
      <c r="R700" s="6"/>
      <c r="S700" s="6"/>
      <c r="T700" s="6"/>
      <c r="U700" s="831"/>
      <c r="V700" s="836"/>
    </row>
    <row r="701" spans="2:22" s="829" customFormat="1" ht="25.5" hidden="1" outlineLevel="1">
      <c r="B701" s="830"/>
      <c r="C701" s="830"/>
      <c r="D701" s="830" t="s">
        <v>3336</v>
      </c>
      <c r="E701" s="6"/>
      <c r="F701" s="831" t="s">
        <v>1396</v>
      </c>
      <c r="G701" s="831"/>
      <c r="H701" s="832"/>
      <c r="I701" s="6" t="s">
        <v>1372</v>
      </c>
      <c r="J701" s="6" t="s">
        <v>2783</v>
      </c>
      <c r="K701" s="6" t="s">
        <v>2783</v>
      </c>
      <c r="L701" s="6">
        <v>233838.03898112278</v>
      </c>
      <c r="M701" s="833" t="s">
        <v>2810</v>
      </c>
      <c r="N701" s="833" t="s">
        <v>2810</v>
      </c>
      <c r="O701" s="834"/>
      <c r="P701" s="835"/>
      <c r="Q701" s="6"/>
      <c r="R701" s="6"/>
      <c r="S701" s="6"/>
      <c r="T701" s="6"/>
      <c r="U701" s="831"/>
      <c r="V701" s="836"/>
    </row>
    <row r="702" spans="2:22" s="829" customFormat="1" ht="25.5" hidden="1" outlineLevel="1">
      <c r="B702" s="830"/>
      <c r="C702" s="830"/>
      <c r="D702" s="830" t="s">
        <v>3336</v>
      </c>
      <c r="E702" s="6"/>
      <c r="F702" s="831" t="s">
        <v>1397</v>
      </c>
      <c r="G702" s="831"/>
      <c r="H702" s="832"/>
      <c r="I702" s="6" t="s">
        <v>1372</v>
      </c>
      <c r="J702" s="6" t="s">
        <v>2783</v>
      </c>
      <c r="K702" s="6" t="s">
        <v>2783</v>
      </c>
      <c r="L702" s="6">
        <v>486203.4295803227</v>
      </c>
      <c r="M702" s="833" t="s">
        <v>2810</v>
      </c>
      <c r="N702" s="833" t="s">
        <v>2810</v>
      </c>
      <c r="O702" s="834"/>
      <c r="P702" s="835"/>
      <c r="Q702" s="6"/>
      <c r="R702" s="6"/>
      <c r="S702" s="6"/>
      <c r="T702" s="6"/>
      <c r="U702" s="831"/>
      <c r="V702" s="836"/>
    </row>
    <row r="703" spans="2:22" s="829" customFormat="1" ht="25.5" hidden="1" outlineLevel="1">
      <c r="B703" s="830"/>
      <c r="C703" s="830"/>
      <c r="D703" s="830" t="s">
        <v>3336</v>
      </c>
      <c r="E703" s="6"/>
      <c r="F703" s="831" t="s">
        <v>1398</v>
      </c>
      <c r="G703" s="831"/>
      <c r="H703" s="832"/>
      <c r="I703" s="6" t="s">
        <v>1372</v>
      </c>
      <c r="J703" s="6" t="s">
        <v>2783</v>
      </c>
      <c r="K703" s="6" t="s">
        <v>2783</v>
      </c>
      <c r="L703" s="6">
        <v>1034318.9737961699</v>
      </c>
      <c r="M703" s="833" t="s">
        <v>2810</v>
      </c>
      <c r="N703" s="833" t="s">
        <v>2810</v>
      </c>
      <c r="O703" s="834"/>
      <c r="P703" s="835"/>
      <c r="Q703" s="6"/>
      <c r="R703" s="6"/>
      <c r="S703" s="6"/>
      <c r="T703" s="6"/>
      <c r="U703" s="831"/>
      <c r="V703" s="836"/>
    </row>
    <row r="704" spans="2:22" s="829" customFormat="1" ht="25.5" hidden="1" outlineLevel="1">
      <c r="B704" s="830"/>
      <c r="C704" s="830"/>
      <c r="D704" s="830" t="s">
        <v>3336</v>
      </c>
      <c r="E704" s="6"/>
      <c r="F704" s="831" t="s">
        <v>1399</v>
      </c>
      <c r="G704" s="831"/>
      <c r="H704" s="832"/>
      <c r="I704" s="6" t="s">
        <v>1372</v>
      </c>
      <c r="J704" s="6" t="s">
        <v>2783</v>
      </c>
      <c r="K704" s="6" t="s">
        <v>2783</v>
      </c>
      <c r="L704" s="6">
        <v>2763979.0363606154</v>
      </c>
      <c r="M704" s="833" t="s">
        <v>2810</v>
      </c>
      <c r="N704" s="833" t="s">
        <v>2810</v>
      </c>
      <c r="O704" s="834"/>
      <c r="P704" s="835"/>
      <c r="Q704" s="6"/>
      <c r="R704" s="6"/>
      <c r="S704" s="6"/>
      <c r="T704" s="6"/>
      <c r="U704" s="831"/>
      <c r="V704" s="836"/>
    </row>
    <row r="705" spans="2:22" s="829" customFormat="1" ht="25.5" hidden="1" outlineLevel="1">
      <c r="B705" s="830"/>
      <c r="C705" s="830"/>
      <c r="D705" s="830" t="s">
        <v>3336</v>
      </c>
      <c r="E705" s="6"/>
      <c r="F705" s="831" t="s">
        <v>1130</v>
      </c>
      <c r="G705" s="831"/>
      <c r="H705" s="832"/>
      <c r="I705" s="6" t="s">
        <v>1372</v>
      </c>
      <c r="J705" s="6" t="s">
        <v>2783</v>
      </c>
      <c r="K705" s="6" t="s">
        <v>2783</v>
      </c>
      <c r="L705" s="6">
        <v>6195.4040364428374</v>
      </c>
      <c r="M705" s="833" t="s">
        <v>2810</v>
      </c>
      <c r="N705" s="833" t="s">
        <v>2810</v>
      </c>
      <c r="O705" s="834"/>
      <c r="P705" s="835"/>
      <c r="Q705" s="6"/>
      <c r="R705" s="6"/>
      <c r="S705" s="6"/>
      <c r="T705" s="6"/>
      <c r="U705" s="831"/>
      <c r="V705" s="836"/>
    </row>
    <row r="706" spans="2:22" s="829" customFormat="1" ht="25.5" hidden="1" outlineLevel="1">
      <c r="B706" s="830"/>
      <c r="C706" s="830"/>
      <c r="D706" s="830" t="s">
        <v>3336</v>
      </c>
      <c r="E706" s="6"/>
      <c r="F706" s="831" t="s">
        <v>1401</v>
      </c>
      <c r="G706" s="831"/>
      <c r="H706" s="832"/>
      <c r="I706" s="6" t="s">
        <v>1372</v>
      </c>
      <c r="J706" s="6" t="s">
        <v>2783</v>
      </c>
      <c r="K706" s="6" t="s">
        <v>2783</v>
      </c>
      <c r="L706" s="6">
        <v>21606.35606248823</v>
      </c>
      <c r="M706" s="833" t="s">
        <v>2810</v>
      </c>
      <c r="N706" s="833" t="s">
        <v>2810</v>
      </c>
      <c r="O706" s="834"/>
      <c r="P706" s="835"/>
      <c r="Q706" s="6"/>
      <c r="R706" s="6"/>
      <c r="S706" s="6"/>
      <c r="T706" s="6"/>
      <c r="U706" s="831"/>
      <c r="V706" s="836"/>
    </row>
    <row r="707" spans="2:22" s="829" customFormat="1" ht="25.5" hidden="1" outlineLevel="1">
      <c r="B707" s="830"/>
      <c r="C707" s="830"/>
      <c r="D707" s="830" t="s">
        <v>3336</v>
      </c>
      <c r="E707" s="6"/>
      <c r="F707" s="831" t="s">
        <v>907</v>
      </c>
      <c r="G707" s="831"/>
      <c r="H707" s="832"/>
      <c r="I707" s="6" t="s">
        <v>1372</v>
      </c>
      <c r="J707" s="6" t="s">
        <v>2783</v>
      </c>
      <c r="K707" s="6" t="s">
        <v>2783</v>
      </c>
      <c r="L707" s="6">
        <v>44919.285552261928</v>
      </c>
      <c r="M707" s="833" t="s">
        <v>2810</v>
      </c>
      <c r="N707" s="833" t="s">
        <v>2810</v>
      </c>
      <c r="O707" s="834"/>
      <c r="P707" s="835"/>
      <c r="Q707" s="6"/>
      <c r="R707" s="6"/>
      <c r="S707" s="6"/>
      <c r="T707" s="6"/>
      <c r="U707" s="831"/>
      <c r="V707" s="836"/>
    </row>
    <row r="708" spans="2:22" s="829" customFormat="1" ht="25.5" hidden="1" outlineLevel="1">
      <c r="B708" s="830"/>
      <c r="C708" s="830"/>
      <c r="D708" s="830" t="s">
        <v>3336</v>
      </c>
      <c r="E708" s="6"/>
      <c r="F708" s="831" t="s">
        <v>1402</v>
      </c>
      <c r="G708" s="831"/>
      <c r="H708" s="832"/>
      <c r="I708" s="6" t="s">
        <v>1372</v>
      </c>
      <c r="J708" s="6" t="s">
        <v>2783</v>
      </c>
      <c r="K708" s="6" t="s">
        <v>2783</v>
      </c>
      <c r="L708" s="6">
        <v>66334.068732677872</v>
      </c>
      <c r="M708" s="833" t="s">
        <v>2810</v>
      </c>
      <c r="N708" s="833" t="s">
        <v>2810</v>
      </c>
      <c r="O708" s="834"/>
      <c r="P708" s="835"/>
      <c r="Q708" s="6"/>
      <c r="R708" s="6"/>
      <c r="S708" s="6"/>
      <c r="T708" s="6"/>
      <c r="U708" s="831"/>
      <c r="V708" s="836"/>
    </row>
    <row r="709" spans="2:22" s="829" customFormat="1" ht="25.5" hidden="1" outlineLevel="1">
      <c r="B709" s="830"/>
      <c r="C709" s="830"/>
      <c r="D709" s="830" t="s">
        <v>3336</v>
      </c>
      <c r="E709" s="6"/>
      <c r="F709" s="831" t="s">
        <v>1403</v>
      </c>
      <c r="G709" s="831"/>
      <c r="H709" s="832"/>
      <c r="I709" s="6" t="s">
        <v>1372</v>
      </c>
      <c r="J709" s="6" t="s">
        <v>2783</v>
      </c>
      <c r="K709" s="6" t="s">
        <v>2783</v>
      </c>
      <c r="L709" s="6">
        <v>107002.73327132415</v>
      </c>
      <c r="M709" s="833" t="s">
        <v>2810</v>
      </c>
      <c r="N709" s="833" t="s">
        <v>2810</v>
      </c>
      <c r="O709" s="834"/>
      <c r="P709" s="835"/>
      <c r="Q709" s="6"/>
      <c r="R709" s="6"/>
      <c r="S709" s="6"/>
      <c r="T709" s="6"/>
      <c r="U709" s="831"/>
      <c r="V709" s="836"/>
    </row>
    <row r="710" spans="2:22" s="829" customFormat="1" ht="25.5" hidden="1" outlineLevel="1">
      <c r="B710" s="830"/>
      <c r="C710" s="830"/>
      <c r="D710" s="830" t="s">
        <v>3336</v>
      </c>
      <c r="E710" s="6"/>
      <c r="F710" s="831" t="s">
        <v>1405</v>
      </c>
      <c r="G710" s="831"/>
      <c r="H710" s="832"/>
      <c r="I710" s="6" t="s">
        <v>1372</v>
      </c>
      <c r="J710" s="6" t="s">
        <v>2783</v>
      </c>
      <c r="K710" s="6" t="s">
        <v>2783</v>
      </c>
      <c r="L710" s="6">
        <v>236636.25969645957</v>
      </c>
      <c r="M710" s="833" t="s">
        <v>2810</v>
      </c>
      <c r="N710" s="833" t="s">
        <v>2810</v>
      </c>
      <c r="O710" s="834"/>
      <c r="P710" s="835"/>
      <c r="Q710" s="6"/>
      <c r="R710" s="6"/>
      <c r="S710" s="6"/>
      <c r="T710" s="6"/>
      <c r="U710" s="831"/>
      <c r="V710" s="836"/>
    </row>
    <row r="711" spans="2:22" s="829" customFormat="1" ht="25.5" hidden="1" outlineLevel="1">
      <c r="B711" s="830"/>
      <c r="C711" s="830"/>
      <c r="D711" s="830" t="s">
        <v>3336</v>
      </c>
      <c r="E711" s="6"/>
      <c r="F711" s="831" t="s">
        <v>902</v>
      </c>
      <c r="G711" s="831"/>
      <c r="H711" s="832"/>
      <c r="I711" s="6" t="s">
        <v>1372</v>
      </c>
      <c r="J711" s="6" t="s">
        <v>2783</v>
      </c>
      <c r="K711" s="6" t="s">
        <v>2783</v>
      </c>
      <c r="L711" s="6">
        <v>490051.51666856452</v>
      </c>
      <c r="M711" s="833" t="s">
        <v>2810</v>
      </c>
      <c r="N711" s="833" t="s">
        <v>2810</v>
      </c>
      <c r="O711" s="834"/>
      <c r="P711" s="835"/>
      <c r="Q711" s="6"/>
      <c r="R711" s="6"/>
      <c r="S711" s="6"/>
      <c r="T711" s="6"/>
      <c r="U711" s="831"/>
      <c r="V711" s="836"/>
    </row>
    <row r="712" spans="2:22" s="829" customFormat="1" ht="25.5" hidden="1" outlineLevel="1">
      <c r="B712" s="830"/>
      <c r="C712" s="830"/>
      <c r="D712" s="830" t="s">
        <v>3336</v>
      </c>
      <c r="E712" s="6"/>
      <c r="F712" s="831" t="s">
        <v>1406</v>
      </c>
      <c r="G712" s="831"/>
      <c r="H712" s="832"/>
      <c r="I712" s="6" t="s">
        <v>1372</v>
      </c>
      <c r="J712" s="6" t="s">
        <v>2783</v>
      </c>
      <c r="K712" s="6" t="s">
        <v>2783</v>
      </c>
      <c r="L712" s="6">
        <v>1040105.8435484119</v>
      </c>
      <c r="M712" s="833" t="s">
        <v>2810</v>
      </c>
      <c r="N712" s="833" t="s">
        <v>2810</v>
      </c>
      <c r="O712" s="834"/>
      <c r="P712" s="835"/>
      <c r="Q712" s="6"/>
      <c r="R712" s="6"/>
      <c r="S712" s="6"/>
      <c r="T712" s="6"/>
      <c r="U712" s="831"/>
      <c r="V712" s="836"/>
    </row>
    <row r="713" spans="2:22" s="829" customFormat="1" ht="25.5" hidden="1" outlineLevel="1">
      <c r="B713" s="830"/>
      <c r="C713" s="830"/>
      <c r="D713" s="830" t="s">
        <v>3336</v>
      </c>
      <c r="E713" s="6"/>
      <c r="F713" s="831" t="s">
        <v>1407</v>
      </c>
      <c r="G713" s="831"/>
      <c r="H713" s="832"/>
      <c r="I713" s="6" t="s">
        <v>1372</v>
      </c>
      <c r="J713" s="6" t="s">
        <v>2783</v>
      </c>
      <c r="K713" s="6" t="s">
        <v>2783</v>
      </c>
      <c r="L713" s="6">
        <v>2770367.3764256681</v>
      </c>
      <c r="M713" s="833" t="s">
        <v>2810</v>
      </c>
      <c r="N713" s="833" t="s">
        <v>2810</v>
      </c>
      <c r="O713" s="834"/>
      <c r="P713" s="835"/>
      <c r="Q713" s="6"/>
      <c r="R713" s="6"/>
      <c r="S713" s="6"/>
      <c r="T713" s="6"/>
      <c r="U713" s="831"/>
      <c r="V713" s="836"/>
    </row>
    <row r="714" spans="2:22" s="829" customFormat="1" ht="25.5" hidden="1" outlineLevel="1">
      <c r="B714" s="830"/>
      <c r="C714" s="830"/>
      <c r="D714" s="830" t="s">
        <v>3336</v>
      </c>
      <c r="E714" s="6"/>
      <c r="F714" s="831" t="s">
        <v>1408</v>
      </c>
      <c r="G714" s="831"/>
      <c r="H714" s="832"/>
      <c r="I714" s="6" t="s">
        <v>1372</v>
      </c>
      <c r="J714" s="6" t="s">
        <v>2783</v>
      </c>
      <c r="K714" s="6" t="s">
        <v>2783</v>
      </c>
      <c r="L714" s="6">
        <v>6302.0481256141366</v>
      </c>
      <c r="M714" s="833" t="s">
        <v>2810</v>
      </c>
      <c r="N714" s="833" t="s">
        <v>2810</v>
      </c>
      <c r="O714" s="834"/>
      <c r="P714" s="835"/>
      <c r="Q714" s="6"/>
      <c r="R714" s="6"/>
      <c r="S714" s="6"/>
      <c r="T714" s="6"/>
      <c r="U714" s="831"/>
      <c r="V714" s="836"/>
    </row>
    <row r="715" spans="2:22" s="829" customFormat="1" ht="25.5" hidden="1" outlineLevel="1">
      <c r="B715" s="830"/>
      <c r="C715" s="830"/>
      <c r="D715" s="830" t="s">
        <v>3336</v>
      </c>
      <c r="E715" s="6"/>
      <c r="F715" s="831" t="s">
        <v>1409</v>
      </c>
      <c r="G715" s="831"/>
      <c r="H715" s="832"/>
      <c r="I715" s="6" t="s">
        <v>1372</v>
      </c>
      <c r="J715" s="6" t="s">
        <v>2783</v>
      </c>
      <c r="K715" s="6" t="s">
        <v>2783</v>
      </c>
      <c r="L715" s="6">
        <v>21964.301376646312</v>
      </c>
      <c r="M715" s="833" t="s">
        <v>2810</v>
      </c>
      <c r="N715" s="833" t="s">
        <v>2810</v>
      </c>
      <c r="O715" s="834"/>
      <c r="P715" s="835"/>
      <c r="Q715" s="6"/>
      <c r="R715" s="6"/>
      <c r="S715" s="6"/>
      <c r="T715" s="6"/>
      <c r="U715" s="831"/>
      <c r="V715" s="836"/>
    </row>
    <row r="716" spans="2:22" s="829" customFormat="1" ht="25.5" hidden="1" outlineLevel="1">
      <c r="B716" s="830"/>
      <c r="C716" s="830"/>
      <c r="D716" s="830" t="s">
        <v>3336</v>
      </c>
      <c r="E716" s="6"/>
      <c r="F716" s="831" t="s">
        <v>1410</v>
      </c>
      <c r="G716" s="831"/>
      <c r="H716" s="832"/>
      <c r="I716" s="6" t="s">
        <v>1372</v>
      </c>
      <c r="J716" s="6" t="s">
        <v>2783</v>
      </c>
      <c r="K716" s="6" t="s">
        <v>2783</v>
      </c>
      <c r="L716" s="6">
        <v>45641.893869546919</v>
      </c>
      <c r="M716" s="833" t="s">
        <v>2810</v>
      </c>
      <c r="N716" s="833" t="s">
        <v>2810</v>
      </c>
      <c r="O716" s="834"/>
      <c r="P716" s="835"/>
      <c r="Q716" s="6"/>
      <c r="R716" s="6"/>
      <c r="S716" s="6"/>
      <c r="T716" s="6"/>
      <c r="U716" s="831"/>
      <c r="V716" s="836"/>
    </row>
    <row r="717" spans="2:22" s="829" customFormat="1" ht="25.5" hidden="1" outlineLevel="1">
      <c r="B717" s="830"/>
      <c r="C717" s="830"/>
      <c r="D717" s="830" t="s">
        <v>3336</v>
      </c>
      <c r="E717" s="6"/>
      <c r="F717" s="831" t="s">
        <v>1411</v>
      </c>
      <c r="G717" s="831"/>
      <c r="H717" s="832"/>
      <c r="I717" s="6" t="s">
        <v>1372</v>
      </c>
      <c r="J717" s="6" t="s">
        <v>2783</v>
      </c>
      <c r="K717" s="6" t="s">
        <v>2783</v>
      </c>
      <c r="L717" s="6">
        <v>67335.832448289671</v>
      </c>
      <c r="M717" s="833" t="s">
        <v>2810</v>
      </c>
      <c r="N717" s="833" t="s">
        <v>2810</v>
      </c>
      <c r="O717" s="834"/>
      <c r="P717" s="835"/>
      <c r="Q717" s="6"/>
      <c r="R717" s="6"/>
      <c r="S717" s="6"/>
      <c r="T717" s="6"/>
      <c r="U717" s="831"/>
      <c r="V717" s="836"/>
    </row>
    <row r="718" spans="2:22" s="829" customFormat="1" ht="25.5" hidden="1" outlineLevel="1">
      <c r="B718" s="830"/>
      <c r="C718" s="830"/>
      <c r="D718" s="830" t="s">
        <v>3336</v>
      </c>
      <c r="E718" s="6"/>
      <c r="F718" s="831" t="s">
        <v>1412</v>
      </c>
      <c r="G718" s="831"/>
      <c r="H718" s="832"/>
      <c r="I718" s="6" t="s">
        <v>1372</v>
      </c>
      <c r="J718" s="6" t="s">
        <v>2783</v>
      </c>
      <c r="K718" s="6" t="s">
        <v>2783</v>
      </c>
      <c r="L718" s="6">
        <v>108506.99845407347</v>
      </c>
      <c r="M718" s="833" t="s">
        <v>2810</v>
      </c>
      <c r="N718" s="833" t="s">
        <v>2810</v>
      </c>
      <c r="O718" s="834"/>
      <c r="P718" s="835"/>
      <c r="Q718" s="6"/>
      <c r="R718" s="6"/>
      <c r="S718" s="6"/>
      <c r="T718" s="6"/>
      <c r="U718" s="831"/>
      <c r="V718" s="836"/>
    </row>
    <row r="719" spans="2:22" s="829" customFormat="1" ht="25.5" hidden="1" outlineLevel="1">
      <c r="B719" s="830"/>
      <c r="C719" s="830"/>
      <c r="D719" s="830" t="s">
        <v>3336</v>
      </c>
      <c r="E719" s="6"/>
      <c r="F719" s="831" t="s">
        <v>1413</v>
      </c>
      <c r="G719" s="831"/>
      <c r="H719" s="832"/>
      <c r="I719" s="6" t="s">
        <v>1372</v>
      </c>
      <c r="J719" s="6" t="s">
        <v>2783</v>
      </c>
      <c r="K719" s="6" t="s">
        <v>2783</v>
      </c>
      <c r="L719" s="6">
        <v>239681.28059815156</v>
      </c>
      <c r="M719" s="833" t="s">
        <v>2810</v>
      </c>
      <c r="N719" s="833" t="s">
        <v>2810</v>
      </c>
      <c r="O719" s="834"/>
      <c r="P719" s="835"/>
      <c r="Q719" s="6"/>
      <c r="R719" s="6"/>
      <c r="S719" s="6"/>
      <c r="T719" s="6"/>
      <c r="U719" s="831"/>
      <c r="V719" s="836"/>
    </row>
    <row r="720" spans="2:22" s="829" customFormat="1" ht="25.5" hidden="1" outlineLevel="1">
      <c r="B720" s="830"/>
      <c r="C720" s="830"/>
      <c r="D720" s="830" t="s">
        <v>3336</v>
      </c>
      <c r="E720" s="6"/>
      <c r="F720" s="831" t="s">
        <v>1414</v>
      </c>
      <c r="G720" s="831"/>
      <c r="H720" s="832"/>
      <c r="I720" s="6" t="s">
        <v>1372</v>
      </c>
      <c r="J720" s="6" t="s">
        <v>2783</v>
      </c>
      <c r="K720" s="6" t="s">
        <v>2783</v>
      </c>
      <c r="L720" s="6">
        <v>495874.49149588501</v>
      </c>
      <c r="M720" s="833" t="s">
        <v>2810</v>
      </c>
      <c r="N720" s="833" t="s">
        <v>2810</v>
      </c>
      <c r="O720" s="834"/>
      <c r="P720" s="835"/>
      <c r="Q720" s="6"/>
      <c r="R720" s="6"/>
      <c r="S720" s="6"/>
      <c r="T720" s="6"/>
      <c r="U720" s="831"/>
      <c r="V720" s="836"/>
    </row>
    <row r="721" spans="2:22" s="829" customFormat="1" ht="25.5" hidden="1" outlineLevel="1">
      <c r="B721" s="830"/>
      <c r="C721" s="830"/>
      <c r="D721" s="830" t="s">
        <v>3336</v>
      </c>
      <c r="E721" s="6"/>
      <c r="F721" s="831" t="s">
        <v>1415</v>
      </c>
      <c r="G721" s="831"/>
      <c r="H721" s="832"/>
      <c r="I721" s="6" t="s">
        <v>1372</v>
      </c>
      <c r="J721" s="6" t="s">
        <v>2783</v>
      </c>
      <c r="K721" s="6" t="s">
        <v>2783</v>
      </c>
      <c r="L721" s="6">
        <v>1056766.9571282391</v>
      </c>
      <c r="M721" s="833" t="s">
        <v>2810</v>
      </c>
      <c r="N721" s="833" t="s">
        <v>2810</v>
      </c>
      <c r="O721" s="834"/>
      <c r="P721" s="835"/>
      <c r="Q721" s="6"/>
      <c r="R721" s="6"/>
      <c r="S721" s="6"/>
      <c r="T721" s="6"/>
      <c r="U721" s="831"/>
      <c r="V721" s="836"/>
    </row>
    <row r="722" spans="2:22" s="829" customFormat="1" ht="25.5" hidden="1" outlineLevel="1">
      <c r="B722" s="830"/>
      <c r="C722" s="830"/>
      <c r="D722" s="830" t="s">
        <v>3336</v>
      </c>
      <c r="E722" s="6"/>
      <c r="F722" s="831" t="s">
        <v>1416</v>
      </c>
      <c r="G722" s="831"/>
      <c r="H722" s="832"/>
      <c r="I722" s="6" t="s">
        <v>1372</v>
      </c>
      <c r="J722" s="6" t="s">
        <v>2783</v>
      </c>
      <c r="K722" s="6" t="s">
        <v>2783</v>
      </c>
      <c r="L722" s="6">
        <v>2810934.6673884597</v>
      </c>
      <c r="M722" s="833" t="s">
        <v>2810</v>
      </c>
      <c r="N722" s="833" t="s">
        <v>2810</v>
      </c>
      <c r="O722" s="834"/>
      <c r="P722" s="835"/>
      <c r="Q722" s="6"/>
      <c r="R722" s="6"/>
      <c r="S722" s="6"/>
      <c r="T722" s="6"/>
      <c r="U722" s="831"/>
      <c r="V722" s="836"/>
    </row>
    <row r="723" spans="2:22" s="829" customFormat="1" ht="25.5" hidden="1" outlineLevel="1">
      <c r="B723" s="830"/>
      <c r="C723" s="830"/>
      <c r="D723" s="830" t="s">
        <v>3336</v>
      </c>
      <c r="E723" s="6"/>
      <c r="F723" s="831" t="s">
        <v>1417</v>
      </c>
      <c r="G723" s="831"/>
      <c r="H723" s="832"/>
      <c r="I723" s="6" t="s">
        <v>1372</v>
      </c>
      <c r="J723" s="6" t="s">
        <v>2783</v>
      </c>
      <c r="K723" s="6" t="s">
        <v>2783</v>
      </c>
      <c r="L723" s="6">
        <v>5582.7442574874622</v>
      </c>
      <c r="M723" s="833" t="s">
        <v>2810</v>
      </c>
      <c r="N723" s="833" t="s">
        <v>2810</v>
      </c>
      <c r="O723" s="834"/>
      <c r="P723" s="835"/>
      <c r="Q723" s="6"/>
      <c r="R723" s="6"/>
      <c r="S723" s="6"/>
      <c r="T723" s="6"/>
      <c r="U723" s="831"/>
      <c r="V723" s="836"/>
    </row>
    <row r="724" spans="2:22" s="829" customFormat="1" ht="25.5" hidden="1" outlineLevel="1">
      <c r="B724" s="830"/>
      <c r="C724" s="830"/>
      <c r="D724" s="830" t="s">
        <v>3336</v>
      </c>
      <c r="E724" s="6"/>
      <c r="F724" s="831" t="s">
        <v>1418</v>
      </c>
      <c r="G724" s="831"/>
      <c r="H724" s="832"/>
      <c r="I724" s="6" t="s">
        <v>1372</v>
      </c>
      <c r="J724" s="6" t="s">
        <v>2783</v>
      </c>
      <c r="K724" s="6" t="s">
        <v>2783</v>
      </c>
      <c r="L724" s="6">
        <v>19549.995520105524</v>
      </c>
      <c r="M724" s="833" t="s">
        <v>2810</v>
      </c>
      <c r="N724" s="833" t="s">
        <v>2810</v>
      </c>
      <c r="O724" s="834"/>
      <c r="P724" s="835"/>
      <c r="Q724" s="6"/>
      <c r="R724" s="6"/>
      <c r="S724" s="6"/>
      <c r="T724" s="6"/>
      <c r="U724" s="831"/>
      <c r="V724" s="836"/>
    </row>
    <row r="725" spans="2:22" s="829" customFormat="1" ht="25.5" hidden="1" outlineLevel="1">
      <c r="B725" s="830"/>
      <c r="C725" s="830"/>
      <c r="D725" s="830" t="s">
        <v>3336</v>
      </c>
      <c r="E725" s="6"/>
      <c r="F725" s="831" t="s">
        <v>1419</v>
      </c>
      <c r="G725" s="831"/>
      <c r="H725" s="832"/>
      <c r="I725" s="6" t="s">
        <v>1372</v>
      </c>
      <c r="J725" s="6" t="s">
        <v>2783</v>
      </c>
      <c r="K725" s="6" t="s">
        <v>2783</v>
      </c>
      <c r="L725" s="6">
        <v>40767.972006622971</v>
      </c>
      <c r="M725" s="833" t="s">
        <v>2810</v>
      </c>
      <c r="N725" s="833" t="s">
        <v>2810</v>
      </c>
      <c r="O725" s="834"/>
      <c r="P725" s="835"/>
      <c r="Q725" s="6"/>
      <c r="R725" s="6"/>
      <c r="S725" s="6"/>
      <c r="T725" s="6"/>
      <c r="U725" s="831"/>
      <c r="V725" s="836"/>
    </row>
    <row r="726" spans="2:22" s="829" customFormat="1" ht="25.5" hidden="1" outlineLevel="1">
      <c r="B726" s="830"/>
      <c r="C726" s="830"/>
      <c r="D726" s="830" t="s">
        <v>3336</v>
      </c>
      <c r="E726" s="6"/>
      <c r="F726" s="831" t="s">
        <v>1420</v>
      </c>
      <c r="G726" s="831"/>
      <c r="H726" s="832"/>
      <c r="I726" s="6" t="s">
        <v>1372</v>
      </c>
      <c r="J726" s="6" t="s">
        <v>2783</v>
      </c>
      <c r="K726" s="6" t="s">
        <v>2783</v>
      </c>
      <c r="L726" s="6">
        <v>60579.034943731473</v>
      </c>
      <c r="M726" s="833" t="s">
        <v>2810</v>
      </c>
      <c r="N726" s="833" t="s">
        <v>2810</v>
      </c>
      <c r="O726" s="834"/>
      <c r="P726" s="835"/>
      <c r="Q726" s="6"/>
      <c r="R726" s="6"/>
      <c r="S726" s="6"/>
      <c r="T726" s="6"/>
      <c r="U726" s="831"/>
      <c r="V726" s="836"/>
    </row>
    <row r="727" spans="2:22" s="829" customFormat="1" ht="25.5" hidden="1" outlineLevel="1">
      <c r="B727" s="830"/>
      <c r="C727" s="830"/>
      <c r="D727" s="830" t="s">
        <v>3336</v>
      </c>
      <c r="E727" s="6"/>
      <c r="F727" s="831" t="s">
        <v>1421</v>
      </c>
      <c r="G727" s="831"/>
      <c r="H727" s="832"/>
      <c r="I727" s="6" t="s">
        <v>1372</v>
      </c>
      <c r="J727" s="6" t="s">
        <v>2783</v>
      </c>
      <c r="K727" s="6" t="s">
        <v>2783</v>
      </c>
      <c r="L727" s="6">
        <v>98360.878091960811</v>
      </c>
      <c r="M727" s="833" t="s">
        <v>2810</v>
      </c>
      <c r="N727" s="833" t="s">
        <v>2810</v>
      </c>
      <c r="O727" s="834"/>
      <c r="P727" s="835"/>
      <c r="Q727" s="6"/>
      <c r="R727" s="6"/>
      <c r="S727" s="6"/>
      <c r="T727" s="6"/>
      <c r="U727" s="831"/>
      <c r="V727" s="836"/>
    </row>
    <row r="728" spans="2:22" s="829" customFormat="1" ht="25.5" hidden="1" outlineLevel="1">
      <c r="B728" s="830"/>
      <c r="C728" s="830"/>
      <c r="D728" s="830" t="s">
        <v>3336</v>
      </c>
      <c r="E728" s="6"/>
      <c r="F728" s="831" t="s">
        <v>1422</v>
      </c>
      <c r="G728" s="831"/>
      <c r="H728" s="832"/>
      <c r="I728" s="6" t="s">
        <v>1372</v>
      </c>
      <c r="J728" s="6" t="s">
        <v>2783</v>
      </c>
      <c r="K728" s="6" t="s">
        <v>2783</v>
      </c>
      <c r="L728" s="6">
        <v>219142.91480466223</v>
      </c>
      <c r="M728" s="833" t="s">
        <v>2810</v>
      </c>
      <c r="N728" s="833" t="s">
        <v>2810</v>
      </c>
      <c r="O728" s="834"/>
      <c r="P728" s="835"/>
      <c r="Q728" s="6"/>
      <c r="R728" s="6"/>
      <c r="S728" s="6"/>
      <c r="T728" s="6"/>
      <c r="U728" s="831"/>
      <c r="V728" s="836"/>
    </row>
    <row r="729" spans="2:22" s="829" customFormat="1" ht="25.5" hidden="1" outlineLevel="1">
      <c r="B729" s="830"/>
      <c r="C729" s="830"/>
      <c r="D729" s="830" t="s">
        <v>3336</v>
      </c>
      <c r="E729" s="6"/>
      <c r="F729" s="831" t="s">
        <v>1423</v>
      </c>
      <c r="G729" s="831"/>
      <c r="H729" s="832"/>
      <c r="I729" s="6" t="s">
        <v>1372</v>
      </c>
      <c r="J729" s="6" t="s">
        <v>2783</v>
      </c>
      <c r="K729" s="6" t="s">
        <v>2783</v>
      </c>
      <c r="L729" s="6">
        <v>456599.10033409204</v>
      </c>
      <c r="M729" s="833" t="s">
        <v>2810</v>
      </c>
      <c r="N729" s="833" t="s">
        <v>2810</v>
      </c>
      <c r="O729" s="834"/>
      <c r="P729" s="835"/>
      <c r="Q729" s="6"/>
      <c r="R729" s="6"/>
      <c r="S729" s="6"/>
      <c r="T729" s="6"/>
      <c r="U729" s="831"/>
      <c r="V729" s="836"/>
    </row>
    <row r="730" spans="2:22" s="829" customFormat="1" ht="25.5" hidden="1" outlineLevel="1">
      <c r="B730" s="830"/>
      <c r="C730" s="830"/>
      <c r="D730" s="830" t="s">
        <v>3336</v>
      </c>
      <c r="E730" s="6"/>
      <c r="F730" s="831" t="s">
        <v>1424</v>
      </c>
      <c r="G730" s="831"/>
      <c r="H730" s="832"/>
      <c r="I730" s="6" t="s">
        <v>1372</v>
      </c>
      <c r="J730" s="6" t="s">
        <v>2783</v>
      </c>
      <c r="K730" s="6" t="s">
        <v>2783</v>
      </c>
      <c r="L730" s="6">
        <v>944389.38854103442</v>
      </c>
      <c r="M730" s="833" t="s">
        <v>2810</v>
      </c>
      <c r="N730" s="833" t="s">
        <v>2810</v>
      </c>
      <c r="O730" s="834"/>
      <c r="P730" s="835"/>
      <c r="Q730" s="6"/>
      <c r="R730" s="6"/>
      <c r="S730" s="6"/>
      <c r="T730" s="6"/>
      <c r="U730" s="831"/>
      <c r="V730" s="836"/>
    </row>
    <row r="731" spans="2:22" s="829" customFormat="1" ht="25.5" hidden="1" outlineLevel="1">
      <c r="B731" s="830"/>
      <c r="C731" s="830"/>
      <c r="D731" s="830" t="s">
        <v>3336</v>
      </c>
      <c r="E731" s="6"/>
      <c r="F731" s="831" t="s">
        <v>1425</v>
      </c>
      <c r="G731" s="831"/>
      <c r="H731" s="832"/>
      <c r="I731" s="6" t="s">
        <v>1372</v>
      </c>
      <c r="J731" s="6" t="s">
        <v>2783</v>
      </c>
      <c r="K731" s="6" t="s">
        <v>2783</v>
      </c>
      <c r="L731" s="6">
        <v>2537312.2891046982</v>
      </c>
      <c r="M731" s="833" t="s">
        <v>2810</v>
      </c>
      <c r="N731" s="833" t="s">
        <v>2810</v>
      </c>
      <c r="O731" s="834"/>
      <c r="P731" s="835"/>
      <c r="Q731" s="6"/>
      <c r="R731" s="6"/>
      <c r="S731" s="6"/>
      <c r="T731" s="6"/>
      <c r="U731" s="831"/>
      <c r="V731" s="836"/>
    </row>
    <row r="732" spans="2:22" s="829" customFormat="1" ht="25.5" hidden="1" outlineLevel="1">
      <c r="B732" s="830"/>
      <c r="C732" s="830"/>
      <c r="D732" s="830" t="s">
        <v>3336</v>
      </c>
      <c r="E732" s="6"/>
      <c r="F732" s="831" t="s">
        <v>1426</v>
      </c>
      <c r="G732" s="831"/>
      <c r="H732" s="832"/>
      <c r="I732" s="6" t="s">
        <v>1372</v>
      </c>
      <c r="J732" s="6" t="s">
        <v>2783</v>
      </c>
      <c r="K732" s="6" t="s">
        <v>2783</v>
      </c>
      <c r="L732" s="6">
        <v>3036.4774338064499</v>
      </c>
      <c r="M732" s="833" t="s">
        <v>2810</v>
      </c>
      <c r="N732" s="833" t="s">
        <v>2810</v>
      </c>
      <c r="O732" s="834"/>
      <c r="P732" s="835"/>
      <c r="Q732" s="6"/>
      <c r="R732" s="6"/>
      <c r="S732" s="6"/>
      <c r="T732" s="6"/>
      <c r="U732" s="831"/>
      <c r="V732" s="836"/>
    </row>
    <row r="733" spans="2:22" s="829" customFormat="1" ht="25.5" hidden="1" outlineLevel="1">
      <c r="B733" s="830"/>
      <c r="C733" s="830"/>
      <c r="D733" s="830" t="s">
        <v>3336</v>
      </c>
      <c r="E733" s="6"/>
      <c r="F733" s="831" t="s">
        <v>1428</v>
      </c>
      <c r="G733" s="831"/>
      <c r="H733" s="832"/>
      <c r="I733" s="6" t="s">
        <v>1372</v>
      </c>
      <c r="J733" s="6" t="s">
        <v>2783</v>
      </c>
      <c r="K733" s="6" t="s">
        <v>2783</v>
      </c>
      <c r="L733" s="6">
        <v>12924.062312392824</v>
      </c>
      <c r="M733" s="833" t="s">
        <v>2810</v>
      </c>
      <c r="N733" s="833" t="s">
        <v>2810</v>
      </c>
      <c r="O733" s="834"/>
      <c r="P733" s="835"/>
      <c r="Q733" s="6"/>
      <c r="R733" s="6"/>
      <c r="S733" s="6"/>
      <c r="T733" s="6"/>
      <c r="U733" s="831"/>
      <c r="V733" s="836"/>
    </row>
    <row r="734" spans="2:22" s="829" customFormat="1" ht="25.5" hidden="1" outlineLevel="1">
      <c r="B734" s="830"/>
      <c r="C734" s="830"/>
      <c r="D734" s="830" t="s">
        <v>3336</v>
      </c>
      <c r="E734" s="6"/>
      <c r="F734" s="831" t="s">
        <v>1429</v>
      </c>
      <c r="G734" s="831"/>
      <c r="H734" s="832"/>
      <c r="I734" s="6" t="s">
        <v>1372</v>
      </c>
      <c r="J734" s="6" t="s">
        <v>2783</v>
      </c>
      <c r="K734" s="6" t="s">
        <v>2783</v>
      </c>
      <c r="L734" s="6">
        <v>30667.483050656287</v>
      </c>
      <c r="M734" s="833" t="s">
        <v>2810</v>
      </c>
      <c r="N734" s="833" t="s">
        <v>2810</v>
      </c>
      <c r="O734" s="834"/>
      <c r="P734" s="835"/>
      <c r="Q734" s="6"/>
      <c r="R734" s="6"/>
      <c r="S734" s="6"/>
      <c r="T734" s="6"/>
      <c r="U734" s="831"/>
      <c r="V734" s="836"/>
    </row>
    <row r="735" spans="2:22" s="829" customFormat="1" ht="25.5" hidden="1" outlineLevel="1">
      <c r="B735" s="830"/>
      <c r="C735" s="830"/>
      <c r="D735" s="830" t="s">
        <v>3336</v>
      </c>
      <c r="E735" s="6"/>
      <c r="F735" s="831" t="s">
        <v>1430</v>
      </c>
      <c r="G735" s="831"/>
      <c r="H735" s="832"/>
      <c r="I735" s="6" t="s">
        <v>1372</v>
      </c>
      <c r="J735" s="6" t="s">
        <v>2783</v>
      </c>
      <c r="K735" s="6" t="s">
        <v>2783</v>
      </c>
      <c r="L735" s="6">
        <v>47891.991191847963</v>
      </c>
      <c r="M735" s="833" t="s">
        <v>2810</v>
      </c>
      <c r="N735" s="833" t="s">
        <v>2810</v>
      </c>
      <c r="O735" s="834"/>
      <c r="P735" s="835"/>
      <c r="Q735" s="6"/>
      <c r="R735" s="6"/>
      <c r="S735" s="6"/>
      <c r="T735" s="6"/>
      <c r="U735" s="831"/>
      <c r="V735" s="836"/>
    </row>
    <row r="736" spans="2:22" s="829" customFormat="1" ht="25.5" hidden="1" outlineLevel="1">
      <c r="B736" s="830"/>
      <c r="C736" s="830"/>
      <c r="D736" s="830" t="s">
        <v>3336</v>
      </c>
      <c r="E736" s="6"/>
      <c r="F736" s="831" t="s">
        <v>1431</v>
      </c>
      <c r="G736" s="831"/>
      <c r="H736" s="832"/>
      <c r="I736" s="6" t="s">
        <v>1372</v>
      </c>
      <c r="J736" s="6" t="s">
        <v>2783</v>
      </c>
      <c r="K736" s="6" t="s">
        <v>2783</v>
      </c>
      <c r="L736" s="6">
        <v>80807.674386647079</v>
      </c>
      <c r="M736" s="833" t="s">
        <v>2810</v>
      </c>
      <c r="N736" s="833" t="s">
        <v>2810</v>
      </c>
      <c r="O736" s="834"/>
      <c r="P736" s="835"/>
      <c r="Q736" s="6"/>
      <c r="R736" s="6"/>
      <c r="S736" s="6"/>
      <c r="T736" s="6"/>
      <c r="U736" s="831"/>
      <c r="V736" s="836"/>
    </row>
    <row r="737" spans="2:22" s="829" customFormat="1" ht="25.5" hidden="1" outlineLevel="1">
      <c r="B737" s="830"/>
      <c r="C737" s="830"/>
      <c r="D737" s="830" t="s">
        <v>3336</v>
      </c>
      <c r="E737" s="6"/>
      <c r="F737" s="831" t="s">
        <v>1432</v>
      </c>
      <c r="G737" s="831"/>
      <c r="H737" s="832"/>
      <c r="I737" s="6" t="s">
        <v>1372</v>
      </c>
      <c r="J737" s="6" t="s">
        <v>2783</v>
      </c>
      <c r="K737" s="6" t="s">
        <v>2783</v>
      </c>
      <c r="L737" s="6">
        <v>185729.75257312338</v>
      </c>
      <c r="M737" s="833" t="s">
        <v>2810</v>
      </c>
      <c r="N737" s="833" t="s">
        <v>2810</v>
      </c>
      <c r="O737" s="834"/>
      <c r="P737" s="835"/>
      <c r="Q737" s="6"/>
      <c r="R737" s="6"/>
      <c r="S737" s="6"/>
      <c r="T737" s="6"/>
      <c r="U737" s="831"/>
      <c r="V737" s="836"/>
    </row>
    <row r="738" spans="2:22" s="829" customFormat="1" ht="25.5" hidden="1" outlineLevel="1">
      <c r="B738" s="830"/>
      <c r="C738" s="830"/>
      <c r="D738" s="830" t="s">
        <v>3336</v>
      </c>
      <c r="E738" s="6"/>
      <c r="F738" s="831" t="s">
        <v>1433</v>
      </c>
      <c r="G738" s="831"/>
      <c r="H738" s="832"/>
      <c r="I738" s="6" t="s">
        <v>1372</v>
      </c>
      <c r="J738" s="6" t="s">
        <v>2783</v>
      </c>
      <c r="K738" s="6" t="s">
        <v>2783</v>
      </c>
      <c r="L738" s="6">
        <v>393731.73575675464</v>
      </c>
      <c r="M738" s="833" t="s">
        <v>2810</v>
      </c>
      <c r="N738" s="833" t="s">
        <v>2810</v>
      </c>
      <c r="O738" s="834"/>
      <c r="P738" s="835"/>
      <c r="Q738" s="6"/>
      <c r="R738" s="6"/>
      <c r="S738" s="6"/>
      <c r="T738" s="6"/>
      <c r="U738" s="831"/>
      <c r="V738" s="836"/>
    </row>
    <row r="739" spans="2:22" s="829" customFormat="1" ht="25.5" hidden="1" outlineLevel="1">
      <c r="B739" s="830"/>
      <c r="C739" s="830"/>
      <c r="D739" s="830" t="s">
        <v>3336</v>
      </c>
      <c r="E739" s="6"/>
      <c r="F739" s="831" t="s">
        <v>1434</v>
      </c>
      <c r="G739" s="831"/>
      <c r="H739" s="832"/>
      <c r="I739" s="6" t="s">
        <v>1372</v>
      </c>
      <c r="J739" s="6" t="s">
        <v>2783</v>
      </c>
      <c r="K739" s="6" t="s">
        <v>2783</v>
      </c>
      <c r="L739" s="6">
        <v>516926.36963141547</v>
      </c>
      <c r="M739" s="833" t="s">
        <v>2810</v>
      </c>
      <c r="N739" s="833" t="s">
        <v>2810</v>
      </c>
      <c r="O739" s="834"/>
      <c r="P739" s="835"/>
      <c r="Q739" s="6"/>
      <c r="R739" s="6"/>
      <c r="S739" s="6"/>
      <c r="T739" s="6"/>
      <c r="U739" s="831"/>
      <c r="V739" s="836"/>
    </row>
    <row r="740" spans="2:22" s="829" customFormat="1" ht="25.5" hidden="1" outlineLevel="1">
      <c r="B740" s="830"/>
      <c r="C740" s="830"/>
      <c r="D740" s="830" t="s">
        <v>3336</v>
      </c>
      <c r="E740" s="6"/>
      <c r="F740" s="831" t="s">
        <v>1435</v>
      </c>
      <c r="G740" s="831"/>
      <c r="H740" s="832"/>
      <c r="I740" s="6" t="s">
        <v>1372</v>
      </c>
      <c r="J740" s="6" t="s">
        <v>2783</v>
      </c>
      <c r="K740" s="6" t="s">
        <v>2783</v>
      </c>
      <c r="L740" s="6">
        <v>1133065.8927478057</v>
      </c>
      <c r="M740" s="833" t="s">
        <v>2810</v>
      </c>
      <c r="N740" s="833" t="s">
        <v>2810</v>
      </c>
      <c r="O740" s="834"/>
      <c r="P740" s="835"/>
      <c r="Q740" s="6"/>
      <c r="R740" s="6"/>
      <c r="S740" s="6"/>
      <c r="T740" s="6"/>
      <c r="U740" s="831"/>
      <c r="V740" s="836"/>
    </row>
    <row r="741" spans="2:22" s="829" customFormat="1" ht="25.5" hidden="1" outlineLevel="1">
      <c r="B741" s="830"/>
      <c r="C741" s="830"/>
      <c r="D741" s="830" t="s">
        <v>3336</v>
      </c>
      <c r="E741" s="6"/>
      <c r="F741" s="831" t="s">
        <v>1436</v>
      </c>
      <c r="G741" s="831"/>
      <c r="H741" s="832"/>
      <c r="I741" s="6" t="s">
        <v>1372</v>
      </c>
      <c r="J741" s="6" t="s">
        <v>2783</v>
      </c>
      <c r="K741" s="6" t="s">
        <v>2783</v>
      </c>
      <c r="L741" s="6">
        <v>3143.121522977749</v>
      </c>
      <c r="M741" s="833" t="s">
        <v>2810</v>
      </c>
      <c r="N741" s="833" t="s">
        <v>2810</v>
      </c>
      <c r="O741" s="834"/>
      <c r="P741" s="835"/>
      <c r="Q741" s="6"/>
      <c r="R741" s="6"/>
      <c r="S741" s="6"/>
      <c r="T741" s="6"/>
      <c r="U741" s="831"/>
      <c r="V741" s="836"/>
    </row>
    <row r="742" spans="2:22" s="829" customFormat="1" ht="25.5" hidden="1" outlineLevel="1">
      <c r="B742" s="830"/>
      <c r="C742" s="830"/>
      <c r="D742" s="830" t="s">
        <v>3336</v>
      </c>
      <c r="E742" s="6"/>
      <c r="F742" s="831" t="s">
        <v>1437</v>
      </c>
      <c r="G742" s="831"/>
      <c r="H742" s="832"/>
      <c r="I742" s="6" t="s">
        <v>1372</v>
      </c>
      <c r="J742" s="6" t="s">
        <v>2783</v>
      </c>
      <c r="K742" s="6" t="s">
        <v>2783</v>
      </c>
      <c r="L742" s="6">
        <v>13282.007626550903</v>
      </c>
      <c r="M742" s="833" t="s">
        <v>2810</v>
      </c>
      <c r="N742" s="833" t="s">
        <v>2810</v>
      </c>
      <c r="O742" s="834"/>
      <c r="P742" s="835"/>
      <c r="Q742" s="6"/>
      <c r="R742" s="6"/>
      <c r="S742" s="6"/>
      <c r="T742" s="6"/>
      <c r="U742" s="831"/>
      <c r="V742" s="836"/>
    </row>
    <row r="743" spans="2:22" s="829" customFormat="1" ht="25.5" hidden="1" outlineLevel="1">
      <c r="B743" s="830"/>
      <c r="C743" s="830"/>
      <c r="D743" s="830" t="s">
        <v>3336</v>
      </c>
      <c r="E743" s="6"/>
      <c r="F743" s="831" t="s">
        <v>1438</v>
      </c>
      <c r="G743" s="831"/>
      <c r="H743" s="832"/>
      <c r="I743" s="6" t="s">
        <v>1372</v>
      </c>
      <c r="J743" s="6" t="s">
        <v>2783</v>
      </c>
      <c r="K743" s="6" t="s">
        <v>2783</v>
      </c>
      <c r="L743" s="6">
        <v>31390.091367941281</v>
      </c>
      <c r="M743" s="833" t="s">
        <v>2810</v>
      </c>
      <c r="N743" s="833" t="s">
        <v>2810</v>
      </c>
      <c r="O743" s="834"/>
      <c r="P743" s="835"/>
      <c r="Q743" s="6"/>
      <c r="R743" s="6"/>
      <c r="S743" s="6"/>
      <c r="T743" s="6"/>
      <c r="U743" s="831"/>
      <c r="V743" s="836"/>
    </row>
    <row r="744" spans="2:22" s="829" customFormat="1" ht="25.5" hidden="1" outlineLevel="1">
      <c r="B744" s="830"/>
      <c r="C744" s="830"/>
      <c r="D744" s="830" t="s">
        <v>3336</v>
      </c>
      <c r="E744" s="6"/>
      <c r="F744" s="831" t="s">
        <v>1439</v>
      </c>
      <c r="G744" s="831"/>
      <c r="H744" s="832"/>
      <c r="I744" s="6" t="s">
        <v>1372</v>
      </c>
      <c r="J744" s="6" t="s">
        <v>2783</v>
      </c>
      <c r="K744" s="6" t="s">
        <v>2783</v>
      </c>
      <c r="L744" s="6">
        <v>48893.754907459755</v>
      </c>
      <c r="M744" s="833" t="s">
        <v>2810</v>
      </c>
      <c r="N744" s="833" t="s">
        <v>2810</v>
      </c>
      <c r="O744" s="834"/>
      <c r="P744" s="835"/>
      <c r="Q744" s="6"/>
      <c r="R744" s="6"/>
      <c r="S744" s="6"/>
      <c r="T744" s="6"/>
      <c r="U744" s="831"/>
      <c r="V744" s="836"/>
    </row>
    <row r="745" spans="2:22" s="829" customFormat="1" ht="25.5" hidden="1" outlineLevel="1">
      <c r="B745" s="830"/>
      <c r="C745" s="830"/>
      <c r="D745" s="830" t="s">
        <v>3336</v>
      </c>
      <c r="E745" s="6"/>
      <c r="F745" s="831" t="s">
        <v>1440</v>
      </c>
      <c r="G745" s="831"/>
      <c r="H745" s="832"/>
      <c r="I745" s="6" t="s">
        <v>1372</v>
      </c>
      <c r="J745" s="6" t="s">
        <v>2783</v>
      </c>
      <c r="K745" s="6" t="s">
        <v>2783</v>
      </c>
      <c r="L745" s="6">
        <v>82311.939569396403</v>
      </c>
      <c r="M745" s="833" t="s">
        <v>2810</v>
      </c>
      <c r="N745" s="833" t="s">
        <v>2810</v>
      </c>
      <c r="O745" s="834"/>
      <c r="P745" s="835"/>
      <c r="Q745" s="6"/>
      <c r="R745" s="6"/>
      <c r="S745" s="6"/>
      <c r="T745" s="6"/>
      <c r="U745" s="831"/>
      <c r="V745" s="836"/>
    </row>
    <row r="746" spans="2:22" s="829" customFormat="1" ht="25.5" hidden="1" outlineLevel="1">
      <c r="B746" s="830"/>
      <c r="C746" s="830"/>
      <c r="D746" s="830" t="s">
        <v>3336</v>
      </c>
      <c r="E746" s="6"/>
      <c r="F746" s="831" t="s">
        <v>1441</v>
      </c>
      <c r="G746" s="831"/>
      <c r="H746" s="832"/>
      <c r="I746" s="6" t="s">
        <v>1372</v>
      </c>
      <c r="J746" s="6" t="s">
        <v>2783</v>
      </c>
      <c r="K746" s="6" t="s">
        <v>2783</v>
      </c>
      <c r="L746" s="6">
        <v>188774.77347481536</v>
      </c>
      <c r="M746" s="833" t="s">
        <v>2810</v>
      </c>
      <c r="N746" s="833" t="s">
        <v>2810</v>
      </c>
      <c r="O746" s="834"/>
      <c r="P746" s="835"/>
      <c r="Q746" s="6"/>
      <c r="R746" s="6"/>
      <c r="S746" s="6"/>
      <c r="T746" s="6"/>
      <c r="U746" s="831"/>
      <c r="V746" s="836"/>
    </row>
    <row r="747" spans="2:22" s="829" customFormat="1" ht="25.5" hidden="1" outlineLevel="1">
      <c r="B747" s="830"/>
      <c r="C747" s="830"/>
      <c r="D747" s="830" t="s">
        <v>3336</v>
      </c>
      <c r="E747" s="6"/>
      <c r="F747" s="831" t="s">
        <v>909</v>
      </c>
      <c r="G747" s="831"/>
      <c r="H747" s="832"/>
      <c r="I747" s="6" t="s">
        <v>1372</v>
      </c>
      <c r="J747" s="6" t="s">
        <v>2783</v>
      </c>
      <c r="K747" s="6" t="s">
        <v>2783</v>
      </c>
      <c r="L747" s="6">
        <v>399554.71058407513</v>
      </c>
      <c r="M747" s="833" t="s">
        <v>2810</v>
      </c>
      <c r="N747" s="833" t="s">
        <v>2810</v>
      </c>
      <c r="O747" s="834"/>
      <c r="P747" s="835"/>
      <c r="Q747" s="6"/>
      <c r="R747" s="6"/>
      <c r="S747" s="6"/>
      <c r="T747" s="6"/>
      <c r="U747" s="831"/>
      <c r="V747" s="836"/>
    </row>
    <row r="748" spans="2:22" s="829" customFormat="1" ht="25.5" hidden="1" outlineLevel="1">
      <c r="B748" s="830"/>
      <c r="C748" s="830"/>
      <c r="D748" s="830" t="s">
        <v>3336</v>
      </c>
      <c r="E748" s="6"/>
      <c r="F748" s="831" t="s">
        <v>1442</v>
      </c>
      <c r="G748" s="831"/>
      <c r="H748" s="832"/>
      <c r="I748" s="6" t="s">
        <v>1372</v>
      </c>
      <c r="J748" s="6" t="s">
        <v>2783</v>
      </c>
      <c r="K748" s="6" t="s">
        <v>2783</v>
      </c>
      <c r="L748" s="6">
        <v>527676.03084802162</v>
      </c>
      <c r="M748" s="833" t="s">
        <v>2810</v>
      </c>
      <c r="N748" s="833" t="s">
        <v>2810</v>
      </c>
      <c r="O748" s="834"/>
      <c r="P748" s="835"/>
      <c r="Q748" s="6"/>
      <c r="R748" s="6"/>
      <c r="S748" s="6"/>
      <c r="T748" s="6"/>
      <c r="U748" s="831"/>
      <c r="V748" s="836"/>
    </row>
    <row r="749" spans="2:22" s="829" customFormat="1" ht="25.5" hidden="1" outlineLevel="1">
      <c r="B749" s="830"/>
      <c r="C749" s="830"/>
      <c r="D749" s="830" t="s">
        <v>3336</v>
      </c>
      <c r="E749" s="6"/>
      <c r="F749" s="831" t="s">
        <v>1443</v>
      </c>
      <c r="G749" s="831"/>
      <c r="H749" s="832"/>
      <c r="I749" s="6" t="s">
        <v>1372</v>
      </c>
      <c r="J749" s="6" t="s">
        <v>2783</v>
      </c>
      <c r="K749" s="6" t="s">
        <v>2783</v>
      </c>
      <c r="L749" s="6">
        <v>1156623.2246647896</v>
      </c>
      <c r="M749" s="833" t="s">
        <v>2810</v>
      </c>
      <c r="N749" s="833" t="s">
        <v>2810</v>
      </c>
      <c r="O749" s="834"/>
      <c r="P749" s="835"/>
      <c r="Q749" s="6"/>
      <c r="R749" s="6"/>
      <c r="S749" s="6"/>
      <c r="T749" s="6"/>
      <c r="U749" s="831"/>
      <c r="V749" s="836"/>
    </row>
    <row r="750" spans="2:22" s="829" customFormat="1" ht="25.5" hidden="1" outlineLevel="1">
      <c r="B750" s="830"/>
      <c r="C750" s="830"/>
      <c r="D750" s="830" t="s">
        <v>3336</v>
      </c>
      <c r="E750" s="6"/>
      <c r="F750" s="831" t="s">
        <v>1444</v>
      </c>
      <c r="G750" s="831"/>
      <c r="H750" s="832"/>
      <c r="I750" s="6" t="s">
        <v>1372</v>
      </c>
      <c r="J750" s="6" t="s">
        <v>2783</v>
      </c>
      <c r="K750" s="6" t="s">
        <v>2783</v>
      </c>
      <c r="L750" s="6">
        <v>2423.8176548510742</v>
      </c>
      <c r="M750" s="833" t="s">
        <v>2810</v>
      </c>
      <c r="N750" s="833" t="s">
        <v>2810</v>
      </c>
      <c r="O750" s="834"/>
      <c r="P750" s="835"/>
      <c r="Q750" s="6"/>
      <c r="R750" s="6"/>
      <c r="S750" s="6"/>
      <c r="T750" s="6"/>
      <c r="U750" s="831"/>
      <c r="V750" s="836"/>
    </row>
    <row r="751" spans="2:22" s="829" customFormat="1" ht="25.5" hidden="1" outlineLevel="1">
      <c r="B751" s="830"/>
      <c r="C751" s="830"/>
      <c r="D751" s="830" t="s">
        <v>3336</v>
      </c>
      <c r="E751" s="6"/>
      <c r="F751" s="831" t="s">
        <v>1445</v>
      </c>
      <c r="G751" s="831"/>
      <c r="H751" s="832"/>
      <c r="I751" s="6" t="s">
        <v>1372</v>
      </c>
      <c r="J751" s="6" t="s">
        <v>2783</v>
      </c>
      <c r="K751" s="6" t="s">
        <v>2783</v>
      </c>
      <c r="L751" s="6">
        <v>10867.701770010117</v>
      </c>
      <c r="M751" s="833" t="s">
        <v>2810</v>
      </c>
      <c r="N751" s="833" t="s">
        <v>2810</v>
      </c>
      <c r="O751" s="834"/>
      <c r="P751" s="835"/>
      <c r="Q751" s="6"/>
      <c r="R751" s="6"/>
      <c r="S751" s="6"/>
      <c r="T751" s="6"/>
      <c r="U751" s="831"/>
      <c r="V751" s="836"/>
    </row>
    <row r="752" spans="2:22" s="829" customFormat="1" ht="25.5" hidden="1" outlineLevel="1">
      <c r="B752" s="830"/>
      <c r="C752" s="830"/>
      <c r="D752" s="830" t="s">
        <v>3336</v>
      </c>
      <c r="E752" s="6"/>
      <c r="F752" s="831" t="s">
        <v>1446</v>
      </c>
      <c r="G752" s="831"/>
      <c r="H752" s="832"/>
      <c r="I752" s="6" t="s">
        <v>1372</v>
      </c>
      <c r="J752" s="6" t="s">
        <v>2783</v>
      </c>
      <c r="K752" s="6" t="s">
        <v>2783</v>
      </c>
      <c r="L752" s="6">
        <v>26516.169505017333</v>
      </c>
      <c r="M752" s="833" t="s">
        <v>2810</v>
      </c>
      <c r="N752" s="833" t="s">
        <v>2810</v>
      </c>
      <c r="O752" s="834"/>
      <c r="P752" s="835"/>
      <c r="Q752" s="6"/>
      <c r="R752" s="6"/>
      <c r="S752" s="6"/>
      <c r="T752" s="6"/>
      <c r="U752" s="831"/>
      <c r="V752" s="836"/>
    </row>
    <row r="753" spans="2:22" s="829" customFormat="1" ht="25.5" hidden="1" outlineLevel="1">
      <c r="B753" s="830"/>
      <c r="C753" s="830"/>
      <c r="D753" s="830" t="s">
        <v>3336</v>
      </c>
      <c r="E753" s="6"/>
      <c r="F753" s="831" t="s">
        <v>1447</v>
      </c>
      <c r="G753" s="831"/>
      <c r="H753" s="832"/>
      <c r="I753" s="6" t="s">
        <v>1372</v>
      </c>
      <c r="J753" s="6" t="s">
        <v>2783</v>
      </c>
      <c r="K753" s="6" t="s">
        <v>2783</v>
      </c>
      <c r="L753" s="6">
        <v>42136.957402901557</v>
      </c>
      <c r="M753" s="833" t="s">
        <v>2810</v>
      </c>
      <c r="N753" s="833" t="s">
        <v>2810</v>
      </c>
      <c r="O753" s="834"/>
      <c r="P753" s="835"/>
      <c r="Q753" s="6"/>
      <c r="R753" s="6"/>
      <c r="S753" s="6"/>
      <c r="T753" s="6"/>
      <c r="U753" s="831"/>
      <c r="V753" s="836"/>
    </row>
    <row r="754" spans="2:22" s="829" customFormat="1" ht="25.5" hidden="1" outlineLevel="1">
      <c r="B754" s="830"/>
      <c r="C754" s="830"/>
      <c r="D754" s="830" t="s">
        <v>3336</v>
      </c>
      <c r="E754" s="6"/>
      <c r="F754" s="831" t="s">
        <v>1448</v>
      </c>
      <c r="G754" s="831"/>
      <c r="H754" s="832"/>
      <c r="I754" s="6" t="s">
        <v>1372</v>
      </c>
      <c r="J754" s="6" t="s">
        <v>2783</v>
      </c>
      <c r="K754" s="6" t="s">
        <v>2783</v>
      </c>
      <c r="L754" s="6">
        <v>72165.819207283741</v>
      </c>
      <c r="M754" s="833" t="s">
        <v>2810</v>
      </c>
      <c r="N754" s="833" t="s">
        <v>2810</v>
      </c>
      <c r="O754" s="834"/>
      <c r="P754" s="835"/>
      <c r="Q754" s="6"/>
      <c r="R754" s="6"/>
      <c r="S754" s="6"/>
      <c r="T754" s="6"/>
      <c r="U754" s="831"/>
      <c r="V754" s="836"/>
    </row>
    <row r="755" spans="2:22" s="829" customFormat="1" ht="25.5" hidden="1" outlineLevel="1">
      <c r="B755" s="830"/>
      <c r="C755" s="830"/>
      <c r="D755" s="830" t="s">
        <v>3336</v>
      </c>
      <c r="E755" s="6"/>
      <c r="F755" s="831" t="s">
        <v>1449</v>
      </c>
      <c r="G755" s="831"/>
      <c r="H755" s="832"/>
      <c r="I755" s="6" t="s">
        <v>1372</v>
      </c>
      <c r="J755" s="6" t="s">
        <v>2783</v>
      </c>
      <c r="K755" s="6" t="s">
        <v>2783</v>
      </c>
      <c r="L755" s="6">
        <v>168236.40768132603</v>
      </c>
      <c r="M755" s="833" t="s">
        <v>2810</v>
      </c>
      <c r="N755" s="833" t="s">
        <v>2810</v>
      </c>
      <c r="O755" s="834"/>
      <c r="P755" s="835"/>
      <c r="Q755" s="6"/>
      <c r="R755" s="6"/>
      <c r="S755" s="6"/>
      <c r="T755" s="6"/>
      <c r="U755" s="831"/>
      <c r="V755" s="836"/>
    </row>
    <row r="756" spans="2:22" s="829" customFormat="1" ht="25.5" hidden="1" outlineLevel="1">
      <c r="B756" s="830"/>
      <c r="C756" s="830"/>
      <c r="D756" s="830" t="s">
        <v>3336</v>
      </c>
      <c r="E756" s="6"/>
      <c r="F756" s="831" t="s">
        <v>1450</v>
      </c>
      <c r="G756" s="831"/>
      <c r="H756" s="832"/>
      <c r="I756" s="6" t="s">
        <v>1372</v>
      </c>
      <c r="J756" s="6" t="s">
        <v>2783</v>
      </c>
      <c r="K756" s="6" t="s">
        <v>2783</v>
      </c>
      <c r="L756" s="6">
        <v>360279.31942228216</v>
      </c>
      <c r="M756" s="833" t="s">
        <v>2810</v>
      </c>
      <c r="N756" s="833" t="s">
        <v>2810</v>
      </c>
      <c r="O756" s="834"/>
      <c r="P756" s="835"/>
      <c r="Q756" s="6"/>
      <c r="R756" s="6"/>
      <c r="S756" s="6"/>
      <c r="T756" s="6"/>
      <c r="U756" s="831"/>
      <c r="V756" s="836"/>
    </row>
    <row r="757" spans="2:22" s="829" customFormat="1" ht="25.5" hidden="1" outlineLevel="1">
      <c r="B757" s="830"/>
      <c r="C757" s="830"/>
      <c r="D757" s="830" t="s">
        <v>3336</v>
      </c>
      <c r="E757" s="6"/>
      <c r="F757" s="831" t="s">
        <v>1451</v>
      </c>
      <c r="G757" s="831"/>
      <c r="H757" s="832"/>
      <c r="I757" s="6" t="s">
        <v>1372</v>
      </c>
      <c r="J757" s="6" t="s">
        <v>2783</v>
      </c>
      <c r="K757" s="6" t="s">
        <v>2783</v>
      </c>
      <c r="L757" s="6">
        <v>455170.6256798461</v>
      </c>
      <c r="M757" s="833" t="s">
        <v>2810</v>
      </c>
      <c r="N757" s="833" t="s">
        <v>2810</v>
      </c>
      <c r="O757" s="834"/>
      <c r="P757" s="835"/>
      <c r="Q757" s="6"/>
      <c r="R757" s="6"/>
      <c r="S757" s="6"/>
      <c r="T757" s="6"/>
      <c r="U757" s="831"/>
      <c r="V757" s="836"/>
    </row>
    <row r="758" spans="2:22" s="829" customFormat="1" ht="25.5" hidden="1" outlineLevel="1">
      <c r="B758" s="830"/>
      <c r="C758" s="830"/>
      <c r="D758" s="830" t="s">
        <v>3336</v>
      </c>
      <c r="E758" s="6"/>
      <c r="F758" s="831" t="s">
        <v>1452</v>
      </c>
      <c r="G758" s="831"/>
      <c r="H758" s="832"/>
      <c r="I758" s="6" t="s">
        <v>1372</v>
      </c>
      <c r="J758" s="6" t="s">
        <v>2783</v>
      </c>
      <c r="K758" s="6" t="s">
        <v>2783</v>
      </c>
      <c r="L758" s="6">
        <v>997731.34324590908</v>
      </c>
      <c r="M758" s="833" t="s">
        <v>2810</v>
      </c>
      <c r="N758" s="833" t="s">
        <v>2810</v>
      </c>
      <c r="O758" s="834"/>
      <c r="P758" s="835"/>
      <c r="Q758" s="6"/>
      <c r="R758" s="6"/>
      <c r="S758" s="6"/>
      <c r="T758" s="6"/>
      <c r="U758" s="831"/>
      <c r="V758" s="836"/>
    </row>
    <row r="759" spans="2:22" s="829" customFormat="1" ht="63.75" hidden="1" outlineLevel="1">
      <c r="B759" s="830"/>
      <c r="C759" s="830" t="s">
        <v>3337</v>
      </c>
      <c r="D759" s="830" t="s">
        <v>3336</v>
      </c>
      <c r="E759" s="6" t="s">
        <v>89</v>
      </c>
      <c r="F759" s="831" t="s">
        <v>3338</v>
      </c>
      <c r="G759" s="831"/>
      <c r="H759" s="832" t="s">
        <v>2985</v>
      </c>
      <c r="I759" s="7"/>
      <c r="J759" s="6" t="s">
        <v>2783</v>
      </c>
      <c r="K759" s="6" t="s">
        <v>2783</v>
      </c>
      <c r="L759" s="7" t="s">
        <v>2950</v>
      </c>
      <c r="M759" s="833" t="s">
        <v>2810</v>
      </c>
      <c r="N759" s="833" t="s">
        <v>2810</v>
      </c>
      <c r="O759" s="834"/>
      <c r="P759" s="835"/>
      <c r="Q759" s="6"/>
      <c r="R759" s="6"/>
      <c r="S759" s="6"/>
      <c r="T759" s="6"/>
      <c r="U759" s="831" t="s">
        <v>3339</v>
      </c>
      <c r="V759" s="836"/>
    </row>
    <row r="760" spans="2:22" s="829" customFormat="1" ht="63.75" hidden="1" outlineLevel="1">
      <c r="B760" s="830"/>
      <c r="C760" s="830" t="s">
        <v>3340</v>
      </c>
      <c r="D760" s="830" t="s">
        <v>3336</v>
      </c>
      <c r="E760" s="6" t="s">
        <v>89</v>
      </c>
      <c r="F760" s="831" t="s">
        <v>3341</v>
      </c>
      <c r="G760" s="831"/>
      <c r="H760" s="832" t="s">
        <v>2985</v>
      </c>
      <c r="I760" s="8"/>
      <c r="J760" s="8">
        <v>3.55</v>
      </c>
      <c r="K760" s="6">
        <v>3.87918085</v>
      </c>
      <c r="L760" s="7" t="s">
        <v>2950</v>
      </c>
      <c r="M760" s="833" t="s">
        <v>2951</v>
      </c>
      <c r="N760" s="833" t="s">
        <v>2951</v>
      </c>
      <c r="O760" s="834"/>
      <c r="P760" s="835"/>
      <c r="Q760" s="6"/>
      <c r="R760" s="6"/>
      <c r="S760" s="6"/>
      <c r="T760" s="6"/>
      <c r="U760" s="831" t="s">
        <v>3342</v>
      </c>
      <c r="V760" s="836"/>
    </row>
    <row r="761" spans="2:22" s="829" customFormat="1" ht="63.75" hidden="1" outlineLevel="1">
      <c r="B761" s="830"/>
      <c r="C761" s="830" t="s">
        <v>3343</v>
      </c>
      <c r="D761" s="830" t="s">
        <v>3336</v>
      </c>
      <c r="E761" s="6" t="s">
        <v>89</v>
      </c>
      <c r="F761" s="831" t="s">
        <v>3344</v>
      </c>
      <c r="G761" s="831"/>
      <c r="H761" s="832" t="s">
        <v>2985</v>
      </c>
      <c r="I761" s="8"/>
      <c r="J761" s="8">
        <v>4.45</v>
      </c>
      <c r="K761" s="6">
        <v>4.86263515</v>
      </c>
      <c r="L761" s="7" t="s">
        <v>2950</v>
      </c>
      <c r="M761" s="833" t="s">
        <v>2951</v>
      </c>
      <c r="N761" s="833" t="s">
        <v>2951</v>
      </c>
      <c r="O761" s="834"/>
      <c r="P761" s="835"/>
      <c r="Q761" s="6"/>
      <c r="R761" s="6"/>
      <c r="S761" s="6"/>
      <c r="T761" s="6"/>
      <c r="U761" s="831" t="s">
        <v>3342</v>
      </c>
      <c r="V761" s="836"/>
    </row>
    <row r="762" spans="2:22" s="829" customFormat="1" ht="63.75" hidden="1" outlineLevel="1">
      <c r="B762" s="830"/>
      <c r="C762" s="830" t="s">
        <v>3345</v>
      </c>
      <c r="D762" s="830" t="s">
        <v>3336</v>
      </c>
      <c r="E762" s="6" t="s">
        <v>89</v>
      </c>
      <c r="F762" s="831" t="s">
        <v>3346</v>
      </c>
      <c r="G762" s="831"/>
      <c r="H762" s="832" t="s">
        <v>2985</v>
      </c>
      <c r="I762" s="8"/>
      <c r="J762" s="8">
        <v>7.25</v>
      </c>
      <c r="K762" s="6">
        <v>7.92227075</v>
      </c>
      <c r="L762" s="7" t="s">
        <v>2950</v>
      </c>
      <c r="M762" s="833" t="s">
        <v>2951</v>
      </c>
      <c r="N762" s="833" t="s">
        <v>2951</v>
      </c>
      <c r="O762" s="834"/>
      <c r="P762" s="835"/>
      <c r="Q762" s="6"/>
      <c r="R762" s="6"/>
      <c r="S762" s="6"/>
      <c r="T762" s="6"/>
      <c r="U762" s="831" t="s">
        <v>3342</v>
      </c>
      <c r="V762" s="836"/>
    </row>
    <row r="763" spans="2:22" s="829" customFormat="1" ht="63.75" hidden="1" outlineLevel="1">
      <c r="B763" s="830"/>
      <c r="C763" s="830" t="s">
        <v>3347</v>
      </c>
      <c r="D763" s="830" t="s">
        <v>3336</v>
      </c>
      <c r="E763" s="6" t="s">
        <v>89</v>
      </c>
      <c r="F763" s="831" t="s">
        <v>3348</v>
      </c>
      <c r="G763" s="831"/>
      <c r="H763" s="832" t="s">
        <v>2985</v>
      </c>
      <c r="I763" s="8"/>
      <c r="J763" s="8">
        <v>9.5</v>
      </c>
      <c r="K763" s="6">
        <v>10.3809065</v>
      </c>
      <c r="L763" s="7" t="s">
        <v>2950</v>
      </c>
      <c r="M763" s="833" t="s">
        <v>2951</v>
      </c>
      <c r="N763" s="833" t="s">
        <v>2951</v>
      </c>
      <c r="O763" s="834"/>
      <c r="P763" s="835"/>
      <c r="Q763" s="6"/>
      <c r="R763" s="6"/>
      <c r="S763" s="6"/>
      <c r="T763" s="6"/>
      <c r="U763" s="831" t="s">
        <v>3342</v>
      </c>
      <c r="V763" s="836"/>
    </row>
    <row r="764" spans="2:22" s="829" customFormat="1" ht="51" collapsed="1">
      <c r="B764" s="830"/>
      <c r="C764" s="830">
        <v>10.050000000000001</v>
      </c>
      <c r="D764" s="830" t="s">
        <v>3336</v>
      </c>
      <c r="E764" s="6" t="s">
        <v>89</v>
      </c>
      <c r="F764" s="831" t="s">
        <v>3349</v>
      </c>
      <c r="G764" s="831"/>
      <c r="H764" s="832" t="s">
        <v>2781</v>
      </c>
      <c r="I764" s="6"/>
      <c r="J764" s="6">
        <v>25000</v>
      </c>
      <c r="K764" s="6">
        <v>27318.174999999999</v>
      </c>
      <c r="L764" s="6">
        <v>22864.456470396457</v>
      </c>
      <c r="M764" s="833">
        <v>-8.5421741184141725E-2</v>
      </c>
      <c r="N764" s="833">
        <v>-0.16303133461893199</v>
      </c>
      <c r="O764" s="834"/>
      <c r="P764" s="835"/>
      <c r="Q764" s="6"/>
      <c r="R764" s="6"/>
      <c r="S764" s="6"/>
      <c r="T764" s="6"/>
      <c r="U764" s="831" t="s">
        <v>3350</v>
      </c>
      <c r="V764" s="836"/>
    </row>
    <row r="765" spans="2:22" s="829" customFormat="1" ht="63.75">
      <c r="B765" s="830"/>
      <c r="C765" s="830">
        <v>10.06</v>
      </c>
      <c r="D765" s="830" t="s">
        <v>3336</v>
      </c>
      <c r="E765" s="6" t="s">
        <v>89</v>
      </c>
      <c r="F765" s="831" t="s">
        <v>3351</v>
      </c>
      <c r="G765" s="831"/>
      <c r="H765" s="832" t="s">
        <v>2985</v>
      </c>
      <c r="I765" s="861"/>
      <c r="J765" s="861">
        <v>57</v>
      </c>
      <c r="K765" s="6">
        <v>62.285438999999997</v>
      </c>
      <c r="L765" s="861">
        <v>14.297391995160448</v>
      </c>
      <c r="M765" s="833">
        <v>-0.74916856148841326</v>
      </c>
      <c r="N765" s="833">
        <v>-0.7704537011425665</v>
      </c>
      <c r="O765" s="834"/>
      <c r="P765" s="835" t="s">
        <v>3352</v>
      </c>
      <c r="Q765" s="6"/>
      <c r="R765" s="6"/>
      <c r="S765" s="6"/>
      <c r="T765" s="6"/>
      <c r="U765" s="831" t="s">
        <v>3353</v>
      </c>
      <c r="V765" s="836"/>
    </row>
    <row r="766" spans="2:22" s="829" customFormat="1" ht="38.25">
      <c r="B766" s="830"/>
      <c r="C766" s="830">
        <v>10.07</v>
      </c>
      <c r="D766" s="830" t="s">
        <v>3336</v>
      </c>
      <c r="E766" s="6" t="s">
        <v>89</v>
      </c>
      <c r="F766" s="831" t="s">
        <v>3354</v>
      </c>
      <c r="G766" s="831"/>
      <c r="H766" s="832" t="s">
        <v>2979</v>
      </c>
      <c r="I766" s="861"/>
      <c r="J766" s="861">
        <v>0.3</v>
      </c>
      <c r="K766" s="7">
        <v>0.3278181</v>
      </c>
      <c r="L766" s="7" t="s">
        <v>2950</v>
      </c>
      <c r="M766" s="833" t="s">
        <v>2951</v>
      </c>
      <c r="N766" s="833" t="s">
        <v>2951</v>
      </c>
      <c r="O766" s="834"/>
      <c r="P766" s="835" t="s">
        <v>3352</v>
      </c>
      <c r="Q766" s="6"/>
      <c r="R766" s="6"/>
      <c r="S766" s="6"/>
      <c r="T766" s="6"/>
      <c r="U766" s="831" t="s">
        <v>3355</v>
      </c>
      <c r="V766" s="836"/>
    </row>
    <row r="767" spans="2:22" s="816" customFormat="1" ht="15.75" customHeight="1">
      <c r="B767" s="827"/>
      <c r="C767" s="827" t="s">
        <v>1182</v>
      </c>
      <c r="D767" s="827"/>
      <c r="E767" s="827"/>
      <c r="F767" s="827"/>
      <c r="G767" s="827"/>
      <c r="H767" s="827"/>
      <c r="I767" s="827"/>
      <c r="J767" s="827"/>
      <c r="K767" s="827"/>
      <c r="L767" s="827"/>
      <c r="M767" s="827"/>
      <c r="N767" s="827"/>
      <c r="O767" s="847"/>
      <c r="P767" s="847"/>
      <c r="Q767" s="847"/>
      <c r="R767" s="847"/>
      <c r="S767" s="847"/>
      <c r="T767" s="847"/>
      <c r="U767" s="847"/>
      <c r="V767" s="847"/>
    </row>
    <row r="768" spans="2:22" s="816" customFormat="1" ht="38.25">
      <c r="B768" s="838"/>
      <c r="C768" s="838">
        <v>11.01</v>
      </c>
      <c r="D768" s="838" t="s">
        <v>522</v>
      </c>
      <c r="E768" s="6" t="s">
        <v>89</v>
      </c>
      <c r="F768" s="839" t="s">
        <v>1361</v>
      </c>
      <c r="G768" s="839"/>
      <c r="H768" s="840" t="s">
        <v>211</v>
      </c>
      <c r="I768" s="840" t="s">
        <v>211</v>
      </c>
      <c r="J768" s="12">
        <v>2500</v>
      </c>
      <c r="K768" s="6">
        <v>2731.8175000000001</v>
      </c>
      <c r="L768" s="14">
        <v>30.935286443204365</v>
      </c>
      <c r="M768" s="833">
        <v>-0.98762588542271823</v>
      </c>
      <c r="N768" s="833">
        <v>-0.98867593225272021</v>
      </c>
      <c r="O768" s="834"/>
      <c r="P768" s="835"/>
      <c r="Q768" s="6"/>
      <c r="R768" s="6"/>
      <c r="S768" s="6"/>
      <c r="T768" s="6"/>
      <c r="U768" s="839" t="s">
        <v>3356</v>
      </c>
      <c r="V768" s="836"/>
    </row>
    <row r="769" spans="2:22" s="816" customFormat="1" ht="51">
      <c r="B769" s="838"/>
      <c r="C769" s="838">
        <v>11.02</v>
      </c>
      <c r="D769" s="838" t="s">
        <v>522</v>
      </c>
      <c r="E769" s="6" t="s">
        <v>89</v>
      </c>
      <c r="F769" s="839" t="s">
        <v>3357</v>
      </c>
      <c r="G769" s="839"/>
      <c r="H769" s="840" t="s">
        <v>211</v>
      </c>
      <c r="I769" s="840" t="s">
        <v>211</v>
      </c>
      <c r="J769" s="13">
        <v>1500</v>
      </c>
      <c r="K769" s="6">
        <v>1639.0905</v>
      </c>
      <c r="L769" s="14">
        <v>30.11046104876522</v>
      </c>
      <c r="M769" s="833">
        <v>-0.97992635930082317</v>
      </c>
      <c r="N769" s="833">
        <v>-0.98162977514129623</v>
      </c>
      <c r="O769" s="834"/>
      <c r="P769" s="835"/>
      <c r="Q769" s="6"/>
      <c r="R769" s="6"/>
      <c r="S769" s="6"/>
      <c r="T769" s="6"/>
      <c r="U769" s="839" t="s">
        <v>3358</v>
      </c>
      <c r="V769" s="836"/>
    </row>
    <row r="770" spans="2:22" s="816" customFormat="1" ht="51">
      <c r="B770" s="838"/>
      <c r="C770" s="838">
        <v>11.03</v>
      </c>
      <c r="D770" s="838" t="s">
        <v>522</v>
      </c>
      <c r="E770" s="6" t="s">
        <v>89</v>
      </c>
      <c r="F770" s="839" t="s">
        <v>3359</v>
      </c>
      <c r="G770" s="839"/>
      <c r="H770" s="840" t="s">
        <v>211</v>
      </c>
      <c r="I770" s="840" t="s">
        <v>211</v>
      </c>
      <c r="J770" s="14">
        <v>750</v>
      </c>
      <c r="K770" s="6">
        <v>819.54525000000001</v>
      </c>
      <c r="L770" s="14">
        <v>31.760111837643507</v>
      </c>
      <c r="M770" s="833">
        <v>-0.95765318421647527</v>
      </c>
      <c r="N770" s="833">
        <v>-0.96124666473554266</v>
      </c>
      <c r="O770" s="834"/>
      <c r="P770" s="835"/>
      <c r="Q770" s="6"/>
      <c r="R770" s="6"/>
      <c r="S770" s="6"/>
      <c r="T770" s="6"/>
      <c r="U770" s="839" t="s">
        <v>3358</v>
      </c>
      <c r="V770" s="836"/>
    </row>
    <row r="771" spans="2:22" s="816" customFormat="1" ht="51">
      <c r="B771" s="838"/>
      <c r="C771" s="838">
        <v>11.04</v>
      </c>
      <c r="D771" s="838" t="s">
        <v>522</v>
      </c>
      <c r="E771" s="6" t="s">
        <v>89</v>
      </c>
      <c r="F771" s="839" t="s">
        <v>3360</v>
      </c>
      <c r="G771" s="839"/>
      <c r="H771" s="840" t="s">
        <v>2807</v>
      </c>
      <c r="I771" s="840" t="s">
        <v>2807</v>
      </c>
      <c r="J771" s="14">
        <v>6</v>
      </c>
      <c r="K771" s="6">
        <v>6.556362</v>
      </c>
      <c r="L771" s="14">
        <v>2.1341643162000881</v>
      </c>
      <c r="M771" s="833">
        <v>-0.64430594729998536</v>
      </c>
      <c r="N771" s="833">
        <v>-0.67448955439005831</v>
      </c>
      <c r="O771" s="834"/>
      <c r="P771" s="835"/>
      <c r="Q771" s="6"/>
      <c r="R771" s="6"/>
      <c r="S771" s="6"/>
      <c r="T771" s="6"/>
      <c r="U771" s="839" t="s">
        <v>3361</v>
      </c>
      <c r="V771" s="836"/>
    </row>
    <row r="772" spans="2:22" s="816" customFormat="1" ht="15.75" customHeight="1">
      <c r="B772" s="827"/>
      <c r="C772" s="827" t="s">
        <v>3362</v>
      </c>
      <c r="D772" s="827"/>
      <c r="E772" s="827"/>
      <c r="F772" s="827"/>
      <c r="G772" s="827"/>
      <c r="H772" s="827"/>
      <c r="I772" s="827"/>
      <c r="J772" s="827"/>
      <c r="K772" s="827"/>
      <c r="L772" s="827"/>
      <c r="M772" s="827"/>
      <c r="N772" s="827"/>
      <c r="O772" s="847"/>
      <c r="P772" s="847"/>
      <c r="Q772" s="847"/>
      <c r="R772" s="847"/>
      <c r="S772" s="847"/>
      <c r="T772" s="847"/>
      <c r="U772" s="847"/>
      <c r="V772" s="847"/>
    </row>
    <row r="773" spans="2:22" s="829" customFormat="1" ht="63.75">
      <c r="B773" s="830"/>
      <c r="C773" s="830">
        <v>12.01</v>
      </c>
      <c r="D773" s="830" t="s">
        <v>3231</v>
      </c>
      <c r="E773" s="7" t="s">
        <v>3263</v>
      </c>
      <c r="F773" s="831" t="s">
        <v>3363</v>
      </c>
      <c r="G773" s="831"/>
      <c r="H773" s="832" t="s">
        <v>299</v>
      </c>
      <c r="I773" s="6" t="s">
        <v>299</v>
      </c>
      <c r="J773" s="6">
        <v>925</v>
      </c>
      <c r="K773" s="6">
        <v>1010.772475</v>
      </c>
      <c r="L773" s="6">
        <v>1047.9768316769243</v>
      </c>
      <c r="M773" s="833">
        <v>0.13294792613721551</v>
      </c>
      <c r="N773" s="833">
        <v>3.6807845085932288E-2</v>
      </c>
      <c r="O773" s="834"/>
      <c r="P773" s="835"/>
      <c r="Q773" s="6"/>
      <c r="R773" s="6"/>
      <c r="S773" s="6"/>
      <c r="T773" s="6"/>
      <c r="U773" s="831" t="s">
        <v>3364</v>
      </c>
      <c r="V773" s="836"/>
    </row>
    <row r="774" spans="2:22" s="829" customFormat="1" ht="38.25">
      <c r="B774" s="830"/>
      <c r="C774" s="830">
        <v>12.02</v>
      </c>
      <c r="D774" s="830" t="s">
        <v>3231</v>
      </c>
      <c r="E774" s="7" t="s">
        <v>3263</v>
      </c>
      <c r="F774" s="831" t="s">
        <v>3365</v>
      </c>
      <c r="G774" s="831"/>
      <c r="H774" s="832" t="s">
        <v>299</v>
      </c>
      <c r="I774" s="7" t="s">
        <v>299</v>
      </c>
      <c r="J774" s="7">
        <v>150</v>
      </c>
      <c r="K774" s="6">
        <v>163.90905000000001</v>
      </c>
      <c r="L774" s="7">
        <v>156.38726940000001</v>
      </c>
      <c r="M774" s="833">
        <v>4.2581796000000054E-2</v>
      </c>
      <c r="N774" s="833">
        <v>-4.5889965197162687E-2</v>
      </c>
      <c r="O774" s="834"/>
      <c r="P774" s="835"/>
      <c r="Q774" s="6"/>
      <c r="R774" s="6"/>
      <c r="S774" s="6"/>
      <c r="T774" s="6"/>
      <c r="U774" s="831" t="s">
        <v>3366</v>
      </c>
      <c r="V774" s="836"/>
    </row>
    <row r="775" spans="2:22" s="829" customFormat="1" ht="63.75">
      <c r="B775" s="830"/>
      <c r="C775" s="830">
        <v>12.03</v>
      </c>
      <c r="D775" s="830" t="s">
        <v>3231</v>
      </c>
      <c r="E775" s="7" t="s">
        <v>3263</v>
      </c>
      <c r="F775" s="837" t="s">
        <v>3367</v>
      </c>
      <c r="G775" s="831"/>
      <c r="H775" s="832" t="s">
        <v>299</v>
      </c>
      <c r="I775" s="7" t="s">
        <v>299</v>
      </c>
      <c r="J775" s="7">
        <v>400</v>
      </c>
      <c r="K775" s="6">
        <v>437.0908</v>
      </c>
      <c r="L775" s="7">
        <v>473.09634541637763</v>
      </c>
      <c r="M775" s="833">
        <v>0.18274086354094407</v>
      </c>
      <c r="N775" s="833">
        <v>8.2375436445648431E-2</v>
      </c>
      <c r="O775" s="834"/>
      <c r="P775" s="835"/>
      <c r="Q775" s="6"/>
      <c r="R775" s="6"/>
      <c r="S775" s="6"/>
      <c r="T775" s="6"/>
      <c r="U775" s="831" t="s">
        <v>3368</v>
      </c>
      <c r="V775" s="836"/>
    </row>
    <row r="776" spans="2:22" s="829" customFormat="1" ht="51">
      <c r="B776" s="830"/>
      <c r="C776" s="830" t="s">
        <v>3369</v>
      </c>
      <c r="D776" s="830" t="s">
        <v>3231</v>
      </c>
      <c r="E776" s="7" t="s">
        <v>3263</v>
      </c>
      <c r="F776" s="831" t="s">
        <v>3370</v>
      </c>
      <c r="G776" s="831"/>
      <c r="H776" s="832" t="s">
        <v>299</v>
      </c>
      <c r="I776" s="6" t="s">
        <v>299</v>
      </c>
      <c r="J776" s="6">
        <v>1470</v>
      </c>
      <c r="K776" s="6">
        <v>1606.3086900000001</v>
      </c>
      <c r="L776" s="6">
        <v>1266.6334079070016</v>
      </c>
      <c r="M776" s="833">
        <v>-0.13834462047142748</v>
      </c>
      <c r="N776" s="833">
        <v>-0.21146326618764572</v>
      </c>
      <c r="O776" s="834"/>
      <c r="P776" s="835"/>
      <c r="Q776" s="6"/>
      <c r="R776" s="6"/>
      <c r="S776" s="6"/>
      <c r="T776" s="6"/>
      <c r="U776" s="831" t="s">
        <v>3371</v>
      </c>
      <c r="V776" s="836"/>
    </row>
    <row r="777" spans="2:22" s="829" customFormat="1" ht="76.5">
      <c r="B777" s="830"/>
      <c r="C777" s="830" t="s">
        <v>3372</v>
      </c>
      <c r="D777" s="830" t="s">
        <v>3231</v>
      </c>
      <c r="E777" s="7" t="s">
        <v>3263</v>
      </c>
      <c r="F777" s="831" t="s">
        <v>3373</v>
      </c>
      <c r="G777" s="831"/>
      <c r="H777" s="832" t="s">
        <v>211</v>
      </c>
      <c r="I777" s="6" t="s">
        <v>211</v>
      </c>
      <c r="J777" s="6">
        <v>1450</v>
      </c>
      <c r="K777" s="6">
        <v>1584.45415</v>
      </c>
      <c r="L777" s="6">
        <v>1266.6334079070016</v>
      </c>
      <c r="M777" s="833">
        <v>-0.1264597186848265</v>
      </c>
      <c r="N777" s="833">
        <v>-0.20058689744540631</v>
      </c>
      <c r="O777" s="834"/>
      <c r="P777" s="835"/>
      <c r="Q777" s="6"/>
      <c r="R777" s="6"/>
      <c r="S777" s="6"/>
      <c r="T777" s="6"/>
      <c r="U777" s="831" t="s">
        <v>3374</v>
      </c>
      <c r="V777" s="836"/>
    </row>
    <row r="778" spans="2:22" s="829" customFormat="1" ht="51">
      <c r="B778" s="830"/>
      <c r="C778" s="830" t="s">
        <v>3375</v>
      </c>
      <c r="D778" s="830" t="s">
        <v>3231</v>
      </c>
      <c r="E778" s="7" t="s">
        <v>3263</v>
      </c>
      <c r="F778" s="831" t="s">
        <v>3376</v>
      </c>
      <c r="G778" s="831"/>
      <c r="H778" s="832" t="s">
        <v>2781</v>
      </c>
      <c r="I778" s="6" t="s">
        <v>299</v>
      </c>
      <c r="J778" s="6" t="s">
        <v>2783</v>
      </c>
      <c r="K778" s="6" t="s">
        <v>2986</v>
      </c>
      <c r="L778" s="6" t="s">
        <v>2924</v>
      </c>
      <c r="M778" s="833" t="s">
        <v>2810</v>
      </c>
      <c r="N778" s="833" t="s">
        <v>2968</v>
      </c>
      <c r="O778" s="834"/>
      <c r="P778" s="835"/>
      <c r="Q778" s="6"/>
      <c r="R778" s="6"/>
      <c r="S778" s="6"/>
      <c r="T778" s="6"/>
      <c r="U778" s="831" t="s">
        <v>3377</v>
      </c>
      <c r="V778" s="836"/>
    </row>
    <row r="779" spans="2:22" s="829" customFormat="1" ht="51">
      <c r="B779" s="830"/>
      <c r="C779" s="830" t="s">
        <v>3378</v>
      </c>
      <c r="D779" s="830" t="s">
        <v>3231</v>
      </c>
      <c r="E779" s="7" t="s">
        <v>3263</v>
      </c>
      <c r="F779" s="831" t="s">
        <v>521</v>
      </c>
      <c r="G779" s="831"/>
      <c r="H779" s="832" t="s">
        <v>2781</v>
      </c>
      <c r="I779" s="6" t="s">
        <v>299</v>
      </c>
      <c r="J779" s="6">
        <v>3000</v>
      </c>
      <c r="K779" s="6">
        <v>3278.181</v>
      </c>
      <c r="L779" s="6">
        <v>3930.220784661823</v>
      </c>
      <c r="M779" s="833">
        <v>0.31007359488727432</v>
      </c>
      <c r="N779" s="833">
        <v>0.19890292349989916</v>
      </c>
      <c r="O779" s="834"/>
      <c r="P779" s="835"/>
      <c r="Q779" s="6"/>
      <c r="R779" s="6"/>
      <c r="S779" s="6"/>
      <c r="T779" s="6"/>
      <c r="U779" s="831" t="s">
        <v>3379</v>
      </c>
      <c r="V779" s="836"/>
    </row>
    <row r="780" spans="2:22" s="829" customFormat="1" ht="25.5">
      <c r="B780" s="830"/>
      <c r="C780" s="830">
        <v>12.06</v>
      </c>
      <c r="D780" s="830" t="s">
        <v>3231</v>
      </c>
      <c r="E780" s="7" t="s">
        <v>3263</v>
      </c>
      <c r="F780" s="831" t="s">
        <v>743</v>
      </c>
      <c r="G780" s="831"/>
      <c r="H780" s="832" t="s">
        <v>299</v>
      </c>
      <c r="I780" s="6" t="s">
        <v>299</v>
      </c>
      <c r="J780" s="6">
        <v>1200</v>
      </c>
      <c r="K780" s="6">
        <v>1311.2724000000001</v>
      </c>
      <c r="L780" s="6">
        <v>1266.6334079070016</v>
      </c>
      <c r="M780" s="833">
        <v>5.5527839922501321E-2</v>
      </c>
      <c r="N780" s="833">
        <v>-3.4042501079865999E-2</v>
      </c>
      <c r="O780" s="834"/>
      <c r="P780" s="835"/>
      <c r="Q780" s="6"/>
      <c r="R780" s="6"/>
      <c r="S780" s="6"/>
      <c r="T780" s="6"/>
      <c r="U780" s="831" t="s">
        <v>3380</v>
      </c>
      <c r="V780" s="836"/>
    </row>
    <row r="781" spans="2:22" s="829" customFormat="1" ht="25.5">
      <c r="B781" s="830"/>
      <c r="C781" s="830">
        <v>12.07</v>
      </c>
      <c r="D781" s="830" t="s">
        <v>3231</v>
      </c>
      <c r="E781" s="7" t="s">
        <v>3263</v>
      </c>
      <c r="F781" s="831" t="s">
        <v>536</v>
      </c>
      <c r="G781" s="831"/>
      <c r="H781" s="832" t="s">
        <v>299</v>
      </c>
      <c r="I781" s="6" t="s">
        <v>299</v>
      </c>
      <c r="J781" s="6">
        <v>1700</v>
      </c>
      <c r="K781" s="6">
        <v>1857.6359</v>
      </c>
      <c r="L781" s="6">
        <v>1978.1198943934883</v>
      </c>
      <c r="M781" s="833">
        <v>0.16359993787852251</v>
      </c>
      <c r="N781" s="833">
        <v>6.485877797338449E-2</v>
      </c>
      <c r="O781" s="834"/>
      <c r="P781" s="835"/>
      <c r="Q781" s="6"/>
      <c r="R781" s="6"/>
      <c r="S781" s="6"/>
      <c r="T781" s="6"/>
      <c r="U781" s="831" t="s">
        <v>3381</v>
      </c>
      <c r="V781" s="836"/>
    </row>
    <row r="782" spans="2:22" s="829" customFormat="1" ht="51">
      <c r="B782" s="830"/>
      <c r="C782" s="830">
        <v>12.08</v>
      </c>
      <c r="D782" s="830" t="s">
        <v>3231</v>
      </c>
      <c r="E782" s="7" t="s">
        <v>3263</v>
      </c>
      <c r="F782" s="831" t="s">
        <v>537</v>
      </c>
      <c r="G782" s="831"/>
      <c r="H782" s="832" t="s">
        <v>299</v>
      </c>
      <c r="I782" s="6" t="s">
        <v>299</v>
      </c>
      <c r="J782" s="6">
        <v>2500</v>
      </c>
      <c r="K782" s="6">
        <v>2731.8175000000001</v>
      </c>
      <c r="L782" s="6">
        <v>3401.0928673664612</v>
      </c>
      <c r="M782" s="833">
        <v>0.36043714694658446</v>
      </c>
      <c r="N782" s="833">
        <v>0.24499270810237544</v>
      </c>
      <c r="O782" s="834"/>
      <c r="P782" s="835"/>
      <c r="Q782" s="6"/>
      <c r="R782" s="6"/>
      <c r="S782" s="6"/>
      <c r="T782" s="6"/>
      <c r="U782" s="831" t="s">
        <v>3382</v>
      </c>
      <c r="V782" s="836"/>
    </row>
    <row r="783" spans="2:22" s="829" customFormat="1" ht="38.25">
      <c r="B783" s="830"/>
      <c r="C783" s="830">
        <v>12.09</v>
      </c>
      <c r="D783" s="830" t="s">
        <v>3231</v>
      </c>
      <c r="E783" s="7" t="s">
        <v>3263</v>
      </c>
      <c r="F783" s="831" t="s">
        <v>538</v>
      </c>
      <c r="G783" s="831"/>
      <c r="H783" s="832" t="s">
        <v>299</v>
      </c>
      <c r="I783" s="6" t="s">
        <v>299</v>
      </c>
      <c r="J783" s="6">
        <v>40000</v>
      </c>
      <c r="K783" s="6">
        <v>43709.08</v>
      </c>
      <c r="L783" s="6">
        <v>27579.416003948303</v>
      </c>
      <c r="M783" s="833">
        <v>-0.31051459990129243</v>
      </c>
      <c r="N783" s="833">
        <v>-0.36902318685389163</v>
      </c>
      <c r="O783" s="834"/>
      <c r="P783" s="835"/>
      <c r="Q783" s="6"/>
      <c r="R783" s="6"/>
      <c r="S783" s="6"/>
      <c r="T783" s="6"/>
      <c r="U783" s="831" t="s">
        <v>3383</v>
      </c>
      <c r="V783" s="836"/>
    </row>
    <row r="784" spans="2:22" s="816" customFormat="1" ht="15.75" customHeight="1">
      <c r="B784" s="827"/>
      <c r="C784" s="827" t="s">
        <v>3384</v>
      </c>
      <c r="D784" s="827"/>
      <c r="E784" s="827"/>
      <c r="F784" s="827"/>
      <c r="G784" s="827"/>
      <c r="H784" s="827"/>
      <c r="I784" s="827"/>
      <c r="J784" s="827"/>
      <c r="K784" s="827"/>
      <c r="L784" s="827"/>
      <c r="M784" s="827"/>
      <c r="N784" s="827"/>
      <c r="O784" s="847"/>
      <c r="P784" s="847"/>
      <c r="Q784" s="847"/>
      <c r="R784" s="847"/>
      <c r="S784" s="847"/>
      <c r="T784" s="847"/>
      <c r="U784" s="847"/>
      <c r="V784" s="847"/>
    </row>
    <row r="785" spans="2:22" s="829" customFormat="1" ht="51">
      <c r="B785" s="830"/>
      <c r="C785" s="830">
        <v>13.01</v>
      </c>
      <c r="D785" s="830" t="s">
        <v>3385</v>
      </c>
      <c r="E785" s="6" t="s">
        <v>3385</v>
      </c>
      <c r="F785" s="831" t="s">
        <v>3386</v>
      </c>
      <c r="G785" s="831"/>
      <c r="H785" s="832" t="s">
        <v>2781</v>
      </c>
      <c r="I785" s="6"/>
      <c r="J785" s="6" t="s">
        <v>2783</v>
      </c>
      <c r="K785" s="6" t="s">
        <v>2986</v>
      </c>
      <c r="L785" s="6" t="s">
        <v>2924</v>
      </c>
      <c r="M785" s="833" t="s">
        <v>2810</v>
      </c>
      <c r="N785" s="833" t="s">
        <v>2968</v>
      </c>
      <c r="O785" s="834"/>
      <c r="P785" s="835"/>
      <c r="Q785" s="6"/>
      <c r="R785" s="6"/>
      <c r="S785" s="6"/>
      <c r="T785" s="6"/>
      <c r="U785" s="831" t="s">
        <v>3387</v>
      </c>
      <c r="V785" s="836"/>
    </row>
    <row r="786" spans="2:22" s="829" customFormat="1" ht="25.5">
      <c r="B786" s="830"/>
      <c r="C786" s="830"/>
      <c r="D786" s="830"/>
      <c r="E786" s="6"/>
      <c r="F786" s="831"/>
      <c r="G786" s="831" t="s">
        <v>3388</v>
      </c>
      <c r="H786" s="832"/>
      <c r="I786" s="6"/>
      <c r="J786" s="6" t="s">
        <v>2783</v>
      </c>
      <c r="K786" s="6" t="s">
        <v>3389</v>
      </c>
      <c r="L786" s="6"/>
      <c r="M786" s="833" t="s">
        <v>2810</v>
      </c>
      <c r="N786" s="833" t="s">
        <v>2810</v>
      </c>
      <c r="O786" s="834"/>
      <c r="P786" s="844"/>
      <c r="Q786" s="6"/>
      <c r="R786" s="6"/>
      <c r="S786" s="6"/>
      <c r="T786" s="6"/>
      <c r="U786" s="831"/>
      <c r="V786" s="862"/>
    </row>
    <row r="787" spans="2:22" s="816" customFormat="1" ht="15.75" customHeight="1">
      <c r="B787" s="827"/>
      <c r="C787" s="827" t="s">
        <v>3390</v>
      </c>
      <c r="D787" s="827"/>
      <c r="E787" s="827"/>
      <c r="F787" s="827"/>
      <c r="G787" s="827"/>
      <c r="H787" s="827"/>
      <c r="I787" s="827"/>
      <c r="J787" s="827"/>
      <c r="K787" s="827"/>
      <c r="L787" s="827"/>
      <c r="M787" s="827"/>
      <c r="N787" s="827"/>
      <c r="O787" s="847"/>
      <c r="P787" s="847"/>
      <c r="Q787" s="847"/>
      <c r="R787" s="847"/>
      <c r="S787" s="847"/>
      <c r="T787" s="847"/>
      <c r="U787" s="847"/>
      <c r="V787" s="847"/>
    </row>
    <row r="788" spans="2:22" s="829" customFormat="1" ht="63.75">
      <c r="B788" s="830"/>
      <c r="C788" s="830" t="s">
        <v>3391</v>
      </c>
      <c r="D788" s="830" t="s">
        <v>3385</v>
      </c>
      <c r="E788" s="6" t="s">
        <v>3385</v>
      </c>
      <c r="F788" s="831" t="s">
        <v>3392</v>
      </c>
      <c r="G788" s="831"/>
      <c r="H788" s="832" t="s">
        <v>2781</v>
      </c>
      <c r="I788" s="7"/>
      <c r="J788" s="6" t="s">
        <v>2783</v>
      </c>
      <c r="K788" s="6" t="s">
        <v>2986</v>
      </c>
      <c r="L788" s="7" t="s">
        <v>2924</v>
      </c>
      <c r="M788" s="833" t="s">
        <v>2810</v>
      </c>
      <c r="N788" s="833" t="s">
        <v>2968</v>
      </c>
      <c r="O788" s="834"/>
      <c r="P788" s="835"/>
      <c r="Q788" s="6"/>
      <c r="R788" s="6"/>
      <c r="S788" s="6"/>
      <c r="T788" s="6"/>
      <c r="U788" s="831" t="s">
        <v>3393</v>
      </c>
      <c r="V788" s="836"/>
    </row>
    <row r="789" spans="2:22" s="829" customFormat="1" ht="229.5">
      <c r="B789" s="830"/>
      <c r="C789" s="830" t="s">
        <v>3394</v>
      </c>
      <c r="D789" s="830" t="s">
        <v>3385</v>
      </c>
      <c r="E789" s="6" t="s">
        <v>3385</v>
      </c>
      <c r="F789" s="831" t="s">
        <v>3395</v>
      </c>
      <c r="G789" s="831"/>
      <c r="H789" s="832" t="s">
        <v>2781</v>
      </c>
      <c r="I789" s="6"/>
      <c r="J789" s="6">
        <v>100000</v>
      </c>
      <c r="K789" s="6">
        <v>109272.7</v>
      </c>
      <c r="L789" s="6">
        <v>113665.99999999999</v>
      </c>
      <c r="M789" s="833">
        <v>0.13665999999999986</v>
      </c>
      <c r="N789" s="833">
        <v>4.0204918520362252E-2</v>
      </c>
      <c r="O789" s="834"/>
      <c r="P789" s="835"/>
      <c r="Q789" s="6"/>
      <c r="R789" s="6"/>
      <c r="S789" s="6"/>
      <c r="T789" s="6"/>
      <c r="U789" s="831" t="s">
        <v>3396</v>
      </c>
      <c r="V789" s="836"/>
    </row>
    <row r="790" spans="2:22" s="829" customFormat="1" ht="191.25">
      <c r="B790" s="830"/>
      <c r="C790" s="830" t="s">
        <v>3397</v>
      </c>
      <c r="D790" s="830" t="s">
        <v>3385</v>
      </c>
      <c r="E790" s="6" t="s">
        <v>3385</v>
      </c>
      <c r="F790" s="831" t="s">
        <v>3398</v>
      </c>
      <c r="G790" s="831"/>
      <c r="H790" s="832" t="s">
        <v>2781</v>
      </c>
      <c r="I790" s="6"/>
      <c r="J790" s="6">
        <v>90000</v>
      </c>
      <c r="K790" s="6">
        <v>98345.430000000008</v>
      </c>
      <c r="L790" s="6">
        <v>100785.99999999999</v>
      </c>
      <c r="M790" s="833">
        <v>0.11984444444444428</v>
      </c>
      <c r="N790" s="833">
        <v>2.4816303106305782E-2</v>
      </c>
      <c r="O790" s="834"/>
      <c r="P790" s="835"/>
      <c r="Q790" s="6"/>
      <c r="R790" s="6"/>
      <c r="S790" s="6"/>
      <c r="T790" s="6"/>
      <c r="U790" s="831" t="s">
        <v>3399</v>
      </c>
      <c r="V790" s="836"/>
    </row>
    <row r="791" spans="2:22" s="829" customFormat="1" ht="165.75">
      <c r="B791" s="830"/>
      <c r="C791" s="830" t="s">
        <v>3400</v>
      </c>
      <c r="D791" s="830" t="s">
        <v>3385</v>
      </c>
      <c r="E791" s="6" t="s">
        <v>3385</v>
      </c>
      <c r="F791" s="831" t="s">
        <v>3401</v>
      </c>
      <c r="G791" s="831"/>
      <c r="H791" s="832" t="s">
        <v>2781</v>
      </c>
      <c r="I791" s="6"/>
      <c r="J791" s="6">
        <v>15000</v>
      </c>
      <c r="K791" s="6">
        <v>16390.904999999999</v>
      </c>
      <c r="L791" s="6">
        <v>16709.5</v>
      </c>
      <c r="M791" s="833">
        <v>0.11396666666666666</v>
      </c>
      <c r="N791" s="833">
        <v>1.9437303797441397E-2</v>
      </c>
      <c r="O791" s="834"/>
      <c r="P791" s="835"/>
      <c r="Q791" s="6"/>
      <c r="R791" s="6"/>
      <c r="S791" s="6"/>
      <c r="T791" s="6"/>
      <c r="U791" s="831" t="s">
        <v>3402</v>
      </c>
      <c r="V791" s="836"/>
    </row>
    <row r="792" spans="2:22" s="829" customFormat="1" ht="306">
      <c r="B792" s="830"/>
      <c r="C792" s="830" t="s">
        <v>3403</v>
      </c>
      <c r="D792" s="830" t="s">
        <v>3385</v>
      </c>
      <c r="E792" s="6" t="s">
        <v>3385</v>
      </c>
      <c r="F792" s="831" t="s">
        <v>3404</v>
      </c>
      <c r="G792" s="831"/>
      <c r="H792" s="832" t="s">
        <v>2781</v>
      </c>
      <c r="I792" s="6"/>
      <c r="J792" s="6">
        <v>300000</v>
      </c>
      <c r="K792" s="6">
        <v>327818.09999999998</v>
      </c>
      <c r="L792" s="6">
        <v>323472</v>
      </c>
      <c r="M792" s="833">
        <v>7.8240000000000004E-2</v>
      </c>
      <c r="N792" s="833">
        <v>-1.3257657219049153E-2</v>
      </c>
      <c r="O792" s="834"/>
      <c r="P792" s="835"/>
      <c r="Q792" s="6"/>
      <c r="R792" s="6"/>
      <c r="S792" s="6"/>
      <c r="T792" s="6"/>
      <c r="U792" s="831" t="s">
        <v>3405</v>
      </c>
      <c r="V792" s="836"/>
    </row>
    <row r="793" spans="2:22" s="829" customFormat="1" ht="178.5">
      <c r="B793" s="830"/>
      <c r="C793" s="830" t="s">
        <v>3406</v>
      </c>
      <c r="D793" s="830" t="s">
        <v>3385</v>
      </c>
      <c r="E793" s="6" t="s">
        <v>3385</v>
      </c>
      <c r="F793" s="831" t="s">
        <v>3407</v>
      </c>
      <c r="G793" s="831"/>
      <c r="H793" s="832" t="s">
        <v>2781</v>
      </c>
      <c r="I793" s="6"/>
      <c r="J793" s="6">
        <v>125000</v>
      </c>
      <c r="K793" s="6">
        <v>136590.875</v>
      </c>
      <c r="L793" s="6">
        <v>136666</v>
      </c>
      <c r="M793" s="833">
        <v>9.3327999999999994E-2</v>
      </c>
      <c r="N793" s="833">
        <v>5.5000013727124887E-4</v>
      </c>
      <c r="O793" s="834"/>
      <c r="P793" s="835"/>
      <c r="Q793" s="6"/>
      <c r="R793" s="6"/>
      <c r="S793" s="6"/>
      <c r="T793" s="6"/>
      <c r="U793" s="831" t="s">
        <v>3408</v>
      </c>
      <c r="V793" s="836"/>
    </row>
    <row r="794" spans="2:22" s="829" customFormat="1" ht="89.25">
      <c r="B794" s="830"/>
      <c r="C794" s="830" t="s">
        <v>3409</v>
      </c>
      <c r="D794" s="830" t="s">
        <v>3385</v>
      </c>
      <c r="E794" s="6" t="s">
        <v>3385</v>
      </c>
      <c r="F794" s="831" t="s">
        <v>3410</v>
      </c>
      <c r="G794" s="831"/>
      <c r="H794" s="832" t="s">
        <v>2781</v>
      </c>
      <c r="I794" s="6"/>
      <c r="J794" s="6">
        <v>27950</v>
      </c>
      <c r="K794" s="6">
        <v>30541.719649999999</v>
      </c>
      <c r="L794" s="6">
        <v>30141.499999999996</v>
      </c>
      <c r="M794" s="833">
        <v>7.8407871198568749E-2</v>
      </c>
      <c r="N794" s="833">
        <v>-1.3104031291833391E-2</v>
      </c>
      <c r="O794" s="834"/>
      <c r="P794" s="835"/>
      <c r="Q794" s="6"/>
      <c r="R794" s="6"/>
      <c r="S794" s="6"/>
      <c r="T794" s="6"/>
      <c r="U794" s="831" t="s">
        <v>3411</v>
      </c>
      <c r="V794" s="836"/>
    </row>
    <row r="795" spans="2:22" s="829" customFormat="1" ht="63.75">
      <c r="B795" s="830"/>
      <c r="C795" s="830">
        <v>14.02</v>
      </c>
      <c r="D795" s="830" t="s">
        <v>3385</v>
      </c>
      <c r="E795" s="6" t="s">
        <v>3385</v>
      </c>
      <c r="F795" s="831" t="s">
        <v>3412</v>
      </c>
      <c r="G795" s="831"/>
      <c r="H795" s="832" t="s">
        <v>3413</v>
      </c>
      <c r="I795" s="6"/>
      <c r="J795" s="6">
        <v>75000</v>
      </c>
      <c r="K795" s="6">
        <v>81954.524999999994</v>
      </c>
      <c r="L795" s="6">
        <v>135854.75200000001</v>
      </c>
      <c r="M795" s="833">
        <v>0.81139669333333342</v>
      </c>
      <c r="N795" s="833">
        <v>0.65768457568389316</v>
      </c>
      <c r="O795" s="834"/>
      <c r="P795" s="835" t="s">
        <v>3414</v>
      </c>
      <c r="Q795" s="6"/>
      <c r="R795" s="6"/>
      <c r="S795" s="6"/>
      <c r="T795" s="6"/>
      <c r="U795" s="831" t="s">
        <v>3415</v>
      </c>
      <c r="V795" s="836"/>
    </row>
    <row r="796" spans="2:22" s="829" customFormat="1" ht="89.25">
      <c r="B796" s="830"/>
      <c r="C796" s="830" t="s">
        <v>3416</v>
      </c>
      <c r="D796" s="830" t="s">
        <v>3385</v>
      </c>
      <c r="E796" s="6" t="s">
        <v>3385</v>
      </c>
      <c r="F796" s="831" t="s">
        <v>3417</v>
      </c>
      <c r="G796" s="831"/>
      <c r="H796" s="832" t="s">
        <v>2781</v>
      </c>
      <c r="I796" s="6"/>
      <c r="J796" s="6" t="s">
        <v>2783</v>
      </c>
      <c r="K796" s="6" t="s">
        <v>2986</v>
      </c>
      <c r="L796" s="6" t="s">
        <v>2924</v>
      </c>
      <c r="M796" s="833" t="s">
        <v>2810</v>
      </c>
      <c r="N796" s="833" t="s">
        <v>2968</v>
      </c>
      <c r="O796" s="834"/>
      <c r="P796" s="844"/>
      <c r="Q796" s="6"/>
      <c r="R796" s="6"/>
      <c r="S796" s="6"/>
      <c r="T796" s="6"/>
      <c r="U796" s="831" t="s">
        <v>3418</v>
      </c>
      <c r="V796" s="836"/>
    </row>
    <row r="797" spans="2:22" s="829" customFormat="1" ht="102">
      <c r="B797" s="830"/>
      <c r="C797" s="830" t="s">
        <v>3419</v>
      </c>
      <c r="D797" s="830" t="s">
        <v>3385</v>
      </c>
      <c r="E797" s="6" t="s">
        <v>3385</v>
      </c>
      <c r="F797" s="831" t="s">
        <v>3420</v>
      </c>
      <c r="G797" s="831"/>
      <c r="H797" s="832" t="s">
        <v>2781</v>
      </c>
      <c r="I797" s="6"/>
      <c r="J797" s="6">
        <v>100000</v>
      </c>
      <c r="K797" s="6">
        <v>109272.7</v>
      </c>
      <c r="L797" s="6">
        <v>129067.67600000001</v>
      </c>
      <c r="M797" s="833">
        <v>0.29067676000000009</v>
      </c>
      <c r="N797" s="833">
        <v>0.18115207183495979</v>
      </c>
      <c r="O797" s="834" t="s">
        <v>2303</v>
      </c>
      <c r="P797" s="835" t="s">
        <v>3421</v>
      </c>
      <c r="Q797" s="6">
        <v>148862.652</v>
      </c>
      <c r="R797" s="6"/>
      <c r="S797" s="6"/>
      <c r="T797" s="6" t="s">
        <v>3422</v>
      </c>
      <c r="U797" s="831" t="s">
        <v>3423</v>
      </c>
      <c r="V797" s="836"/>
    </row>
    <row r="798" spans="2:22" s="829" customFormat="1" ht="165.75">
      <c r="B798" s="830"/>
      <c r="C798" s="830" t="s">
        <v>3424</v>
      </c>
      <c r="D798" s="830" t="s">
        <v>3385</v>
      </c>
      <c r="E798" s="6" t="s">
        <v>3385</v>
      </c>
      <c r="F798" s="831" t="s">
        <v>3425</v>
      </c>
      <c r="G798" s="831"/>
      <c r="H798" s="832" t="s">
        <v>2781</v>
      </c>
      <c r="I798" s="6"/>
      <c r="J798" s="6">
        <v>350000</v>
      </c>
      <c r="K798" s="6">
        <v>382454.45</v>
      </c>
      <c r="L798" s="6">
        <v>420699.89500000002</v>
      </c>
      <c r="M798" s="833">
        <v>0.20199970000000006</v>
      </c>
      <c r="N798" s="833">
        <v>0.10000000000000002</v>
      </c>
      <c r="O798" s="834" t="s">
        <v>2303</v>
      </c>
      <c r="P798" s="835" t="s">
        <v>3426</v>
      </c>
      <c r="Q798" s="6">
        <v>784270.35600000003</v>
      </c>
      <c r="R798" s="6"/>
      <c r="S798" s="6"/>
      <c r="T798" s="6" t="s">
        <v>3427</v>
      </c>
      <c r="U798" s="831" t="s">
        <v>3428</v>
      </c>
      <c r="V798" s="836"/>
    </row>
    <row r="799" spans="2:22" s="829" customFormat="1" ht="165.75">
      <c r="B799" s="830"/>
      <c r="C799" s="830" t="s">
        <v>3429</v>
      </c>
      <c r="D799" s="830" t="s">
        <v>3385</v>
      </c>
      <c r="E799" s="6" t="s">
        <v>3385</v>
      </c>
      <c r="F799" s="831" t="s">
        <v>3430</v>
      </c>
      <c r="G799" s="831"/>
      <c r="H799" s="832" t="s">
        <v>2781</v>
      </c>
      <c r="I799" s="6"/>
      <c r="J799" s="6">
        <v>650000</v>
      </c>
      <c r="K799" s="6">
        <v>710272.55</v>
      </c>
      <c r="L799" s="6">
        <v>781299.80500000017</v>
      </c>
      <c r="M799" s="833">
        <v>0.20199970000000025</v>
      </c>
      <c r="N799" s="833">
        <v>0.10000000000000016</v>
      </c>
      <c r="O799" s="834" t="s">
        <v>2303</v>
      </c>
      <c r="P799" s="835" t="s">
        <v>3426</v>
      </c>
      <c r="Q799" s="6">
        <v>3164356.92</v>
      </c>
      <c r="R799" s="6"/>
      <c r="S799" s="6"/>
      <c r="T799" s="6" t="s">
        <v>3431</v>
      </c>
      <c r="U799" s="831" t="s">
        <v>3432</v>
      </c>
      <c r="V799" s="836"/>
    </row>
    <row r="800" spans="2:22" s="829" customFormat="1" ht="114.75">
      <c r="B800" s="830"/>
      <c r="C800" s="830">
        <v>14.04</v>
      </c>
      <c r="D800" s="830" t="s">
        <v>3385</v>
      </c>
      <c r="E800" s="6" t="s">
        <v>3385</v>
      </c>
      <c r="F800" s="831" t="s">
        <v>3433</v>
      </c>
      <c r="G800" s="831"/>
      <c r="H800" s="832" t="s">
        <v>2912</v>
      </c>
      <c r="I800" s="6"/>
      <c r="J800" s="6">
        <v>31630</v>
      </c>
      <c r="K800" s="6">
        <v>34562.955009999998</v>
      </c>
      <c r="L800" s="6">
        <v>34562.955009999998</v>
      </c>
      <c r="M800" s="833">
        <v>9.2726999999999934E-2</v>
      </c>
      <c r="N800" s="833">
        <v>0</v>
      </c>
      <c r="O800" s="834" t="s">
        <v>2303</v>
      </c>
      <c r="P800" s="844" t="s">
        <v>3434</v>
      </c>
      <c r="Q800" s="6"/>
      <c r="R800" s="6">
        <v>31630</v>
      </c>
      <c r="S800" s="6"/>
      <c r="T800" s="6"/>
      <c r="U800" s="831" t="s">
        <v>3435</v>
      </c>
      <c r="V800" s="836"/>
    </row>
    <row r="801" spans="2:22" s="829" customFormat="1" ht="63.75">
      <c r="B801" s="830"/>
      <c r="C801" s="830">
        <v>14.05</v>
      </c>
      <c r="D801" s="830" t="s">
        <v>3385</v>
      </c>
      <c r="E801" s="6" t="s">
        <v>3385</v>
      </c>
      <c r="F801" s="831" t="s">
        <v>3436</v>
      </c>
      <c r="G801" s="831"/>
      <c r="H801" s="832" t="s">
        <v>2781</v>
      </c>
      <c r="I801" s="6" t="s">
        <v>2781</v>
      </c>
      <c r="J801" s="6" t="s">
        <v>2783</v>
      </c>
      <c r="K801" s="6" t="s">
        <v>2986</v>
      </c>
      <c r="L801" s="6" t="s">
        <v>2924</v>
      </c>
      <c r="M801" s="833" t="s">
        <v>2810</v>
      </c>
      <c r="N801" s="833" t="s">
        <v>2968</v>
      </c>
      <c r="O801" s="834" t="s">
        <v>2303</v>
      </c>
      <c r="P801" s="835"/>
      <c r="Q801" s="6"/>
      <c r="R801" s="6"/>
      <c r="S801" s="6"/>
      <c r="T801" s="6"/>
      <c r="U801" s="831" t="s">
        <v>3437</v>
      </c>
      <c r="V801" s="836"/>
    </row>
    <row r="802" spans="2:22" s="816" customFormat="1" ht="15.75" customHeight="1">
      <c r="B802" s="827"/>
      <c r="C802" s="827" t="s">
        <v>3438</v>
      </c>
      <c r="D802" s="827"/>
      <c r="E802" s="827"/>
      <c r="F802" s="827"/>
      <c r="G802" s="827"/>
      <c r="H802" s="827"/>
      <c r="I802" s="827"/>
      <c r="J802" s="827"/>
      <c r="K802" s="827"/>
      <c r="L802" s="827"/>
      <c r="M802" s="827"/>
      <c r="N802" s="827"/>
      <c r="O802" s="847"/>
      <c r="P802" s="847"/>
      <c r="Q802" s="847"/>
      <c r="R802" s="847"/>
      <c r="S802" s="847"/>
      <c r="T802" s="847"/>
      <c r="U802" s="847"/>
      <c r="V802" s="847"/>
    </row>
    <row r="803" spans="2:22" s="829" customFormat="1" ht="76.5">
      <c r="B803" s="830"/>
      <c r="C803" s="830">
        <v>15</v>
      </c>
      <c r="D803" s="830"/>
      <c r="E803" s="6" t="s">
        <v>1166</v>
      </c>
      <c r="F803" s="831" t="s">
        <v>3439</v>
      </c>
      <c r="G803" s="831" t="s">
        <v>3439</v>
      </c>
      <c r="H803" s="832" t="s">
        <v>55</v>
      </c>
      <c r="I803" s="6"/>
      <c r="J803" s="6">
        <v>7000</v>
      </c>
      <c r="K803" s="6">
        <v>7649.0889999999999</v>
      </c>
      <c r="L803" s="12">
        <v>14000</v>
      </c>
      <c r="M803" s="833">
        <v>1</v>
      </c>
      <c r="N803" s="833">
        <v>0.83028331870631911</v>
      </c>
      <c r="O803" s="834"/>
      <c r="P803" s="835" t="s">
        <v>3440</v>
      </c>
      <c r="Q803" s="6"/>
      <c r="R803" s="6"/>
      <c r="S803" s="6"/>
      <c r="T803" s="6"/>
      <c r="U803" s="831" t="s">
        <v>3441</v>
      </c>
      <c r="V803" s="836"/>
    </row>
    <row r="804" spans="2:22" s="829" customFormat="1" ht="51">
      <c r="B804" s="830"/>
      <c r="C804" s="830" t="s">
        <v>3442</v>
      </c>
      <c r="D804" s="830"/>
      <c r="E804" s="6" t="s">
        <v>1166</v>
      </c>
      <c r="F804" s="831" t="s">
        <v>3443</v>
      </c>
      <c r="G804" s="831" t="s">
        <v>3443</v>
      </c>
      <c r="H804" s="832" t="s">
        <v>55</v>
      </c>
      <c r="I804" s="6"/>
      <c r="J804" s="6">
        <v>12000</v>
      </c>
      <c r="K804" s="6">
        <v>13112.724</v>
      </c>
      <c r="L804" s="12" t="e">
        <v>#REF!</v>
      </c>
      <c r="M804" s="833" t="e">
        <v>#REF!</v>
      </c>
      <c r="N804" s="833" t="e">
        <v>#REF!</v>
      </c>
      <c r="O804" s="834"/>
      <c r="P804" s="835" t="s">
        <v>3440</v>
      </c>
      <c r="Q804" s="6"/>
      <c r="R804" s="6"/>
      <c r="S804" s="6"/>
      <c r="T804" s="6"/>
      <c r="U804" s="831" t="s">
        <v>3444</v>
      </c>
      <c r="V804" s="836"/>
    </row>
    <row r="805" spans="2:22" s="829" customFormat="1" ht="51">
      <c r="B805" s="830"/>
      <c r="C805" s="830" t="s">
        <v>3445</v>
      </c>
      <c r="D805" s="830"/>
      <c r="E805" s="6" t="s">
        <v>1166</v>
      </c>
      <c r="F805" s="831" t="s">
        <v>3446</v>
      </c>
      <c r="G805" s="831" t="s">
        <v>3447</v>
      </c>
      <c r="H805" s="832" t="s">
        <v>55</v>
      </c>
      <c r="I805" s="6"/>
      <c r="J805" s="6">
        <v>35000</v>
      </c>
      <c r="K805" s="6">
        <v>38245.445</v>
      </c>
      <c r="L805" s="12" t="e">
        <v>#REF!</v>
      </c>
      <c r="M805" s="833" t="e">
        <v>#REF!</v>
      </c>
      <c r="N805" s="833" t="e">
        <v>#REF!</v>
      </c>
      <c r="O805" s="834"/>
      <c r="P805" s="835" t="s">
        <v>3440</v>
      </c>
      <c r="Q805" s="6"/>
      <c r="R805" s="6"/>
      <c r="S805" s="6"/>
      <c r="T805" s="6"/>
      <c r="U805" s="831" t="s">
        <v>3444</v>
      </c>
      <c r="V805" s="836"/>
    </row>
    <row r="806" spans="2:22" s="829" customFormat="1" ht="51">
      <c r="B806" s="830"/>
      <c r="C806" s="830" t="s">
        <v>3448</v>
      </c>
      <c r="D806" s="830"/>
      <c r="E806" s="6" t="s">
        <v>1166</v>
      </c>
      <c r="F806" s="831"/>
      <c r="G806" s="831" t="s">
        <v>3449</v>
      </c>
      <c r="H806" s="832" t="s">
        <v>55</v>
      </c>
      <c r="I806" s="6"/>
      <c r="J806" s="6" t="s">
        <v>2783</v>
      </c>
      <c r="K806" s="6" t="s">
        <v>3389</v>
      </c>
      <c r="L806" s="12" t="e">
        <v>#REF!</v>
      </c>
      <c r="M806" s="833" t="s">
        <v>2810</v>
      </c>
      <c r="N806" s="833" t="s">
        <v>2810</v>
      </c>
      <c r="O806" s="834"/>
      <c r="P806" s="835" t="s">
        <v>3440</v>
      </c>
      <c r="Q806" s="6"/>
      <c r="R806" s="6"/>
      <c r="S806" s="6"/>
      <c r="T806" s="6"/>
      <c r="U806" s="831"/>
      <c r="V806" s="836"/>
    </row>
    <row r="807" spans="2:22" s="829" customFormat="1" ht="51">
      <c r="B807" s="830"/>
      <c r="C807" s="830">
        <v>15.01</v>
      </c>
      <c r="D807" s="830"/>
      <c r="E807" s="6" t="s">
        <v>1166</v>
      </c>
      <c r="F807" s="831" t="s">
        <v>3450</v>
      </c>
      <c r="G807" s="831" t="s">
        <v>3451</v>
      </c>
      <c r="H807" s="832" t="s">
        <v>1357</v>
      </c>
      <c r="I807" s="6" t="s">
        <v>3452</v>
      </c>
      <c r="J807" s="6">
        <v>100000</v>
      </c>
      <c r="K807" s="6">
        <v>109272.7</v>
      </c>
      <c r="L807" s="6">
        <v>104000</v>
      </c>
      <c r="M807" s="833">
        <v>0.04</v>
      </c>
      <c r="N807" s="833">
        <v>-4.825267427271402E-2</v>
      </c>
      <c r="O807" s="834">
        <v>123000</v>
      </c>
      <c r="P807" s="835" t="s">
        <v>3440</v>
      </c>
      <c r="Q807" s="6"/>
      <c r="R807" s="6"/>
      <c r="S807" s="6"/>
      <c r="T807" s="6"/>
      <c r="U807" s="831" t="s">
        <v>3444</v>
      </c>
      <c r="V807" s="836"/>
    </row>
    <row r="808" spans="2:22" s="829" customFormat="1" ht="63.75">
      <c r="B808" s="830"/>
      <c r="C808" s="830">
        <v>15.02</v>
      </c>
      <c r="D808" s="830"/>
      <c r="E808" s="6" t="s">
        <v>1166</v>
      </c>
      <c r="F808" s="831" t="s">
        <v>3453</v>
      </c>
      <c r="G808" s="831" t="s">
        <v>3454</v>
      </c>
      <c r="H808" s="832" t="s">
        <v>1357</v>
      </c>
      <c r="I808" s="6" t="s">
        <v>3452</v>
      </c>
      <c r="J808" s="6">
        <v>150000</v>
      </c>
      <c r="K808" s="6">
        <v>163909.04999999999</v>
      </c>
      <c r="L808" s="6">
        <v>190000</v>
      </c>
      <c r="M808" s="833">
        <v>0.26666666666666666</v>
      </c>
      <c r="N808" s="833">
        <v>0.15917943518066888</v>
      </c>
      <c r="O808" s="834">
        <v>226000</v>
      </c>
      <c r="P808" s="835" t="s">
        <v>3440</v>
      </c>
      <c r="Q808" s="6"/>
      <c r="R808" s="6"/>
      <c r="S808" s="6"/>
      <c r="T808" s="6"/>
      <c r="U808" s="831" t="s">
        <v>3444</v>
      </c>
      <c r="V808" s="836"/>
    </row>
    <row r="809" spans="2:22" s="829" customFormat="1" ht="63.75">
      <c r="B809" s="830"/>
      <c r="C809" s="830">
        <v>15.03</v>
      </c>
      <c r="D809" s="830"/>
      <c r="E809" s="6" t="s">
        <v>1166</v>
      </c>
      <c r="F809" s="831" t="s">
        <v>3455</v>
      </c>
      <c r="G809" s="831" t="s">
        <v>3456</v>
      </c>
      <c r="H809" s="832" t="s">
        <v>1357</v>
      </c>
      <c r="I809" s="6" t="s">
        <v>3452</v>
      </c>
      <c r="J809" s="6">
        <v>300000</v>
      </c>
      <c r="K809" s="6">
        <v>327818.09999999998</v>
      </c>
      <c r="L809" s="6">
        <v>359000</v>
      </c>
      <c r="M809" s="833">
        <v>0.19666666666666666</v>
      </c>
      <c r="N809" s="833">
        <v>9.5119519025947702E-2</v>
      </c>
      <c r="O809" s="834">
        <v>427500</v>
      </c>
      <c r="P809" s="835" t="s">
        <v>3440</v>
      </c>
      <c r="Q809" s="6"/>
      <c r="R809" s="6"/>
      <c r="S809" s="6"/>
      <c r="T809" s="6"/>
      <c r="U809" s="831" t="s">
        <v>3444</v>
      </c>
      <c r="V809" s="836"/>
    </row>
    <row r="810" spans="2:22" s="829" customFormat="1" ht="51">
      <c r="B810" s="830"/>
      <c r="C810" s="830">
        <v>15.04</v>
      </c>
      <c r="D810" s="830"/>
      <c r="E810" s="6" t="s">
        <v>1166</v>
      </c>
      <c r="F810" s="831" t="s">
        <v>3457</v>
      </c>
      <c r="G810" s="831" t="s">
        <v>3458</v>
      </c>
      <c r="H810" s="832" t="s">
        <v>1357</v>
      </c>
      <c r="I810" s="6" t="s">
        <v>3452</v>
      </c>
      <c r="J810" s="6">
        <v>500000</v>
      </c>
      <c r="K810" s="6">
        <v>546363.5</v>
      </c>
      <c r="L810" s="855">
        <v>442000</v>
      </c>
      <c r="M810" s="833">
        <v>-0.11600000000000001</v>
      </c>
      <c r="N810" s="833">
        <v>-0.19101477313180693</v>
      </c>
      <c r="O810" s="834">
        <v>526000</v>
      </c>
      <c r="P810" s="835" t="s">
        <v>3440</v>
      </c>
      <c r="Q810" s="6"/>
      <c r="R810" s="6"/>
      <c r="S810" s="6"/>
      <c r="T810" s="6"/>
      <c r="U810" s="831" t="s">
        <v>3444</v>
      </c>
      <c r="V810" s="836"/>
    </row>
    <row r="811" spans="2:22" s="829" customFormat="1" ht="51">
      <c r="B811" s="830"/>
      <c r="C811" s="830">
        <v>15.01</v>
      </c>
      <c r="D811" s="830"/>
      <c r="E811" s="6" t="s">
        <v>1166</v>
      </c>
      <c r="F811" s="831" t="s">
        <v>3450</v>
      </c>
      <c r="G811" s="831" t="s">
        <v>3459</v>
      </c>
      <c r="H811" s="832" t="s">
        <v>1357</v>
      </c>
      <c r="I811" s="6" t="s">
        <v>3452</v>
      </c>
      <c r="J811" s="6">
        <v>100000</v>
      </c>
      <c r="K811" s="6">
        <v>109272.7</v>
      </c>
      <c r="L811" s="6">
        <v>111000</v>
      </c>
      <c r="M811" s="833">
        <v>0.11</v>
      </c>
      <c r="N811" s="833">
        <v>1.5807241882007151E-2</v>
      </c>
      <c r="O811" s="834">
        <v>184000</v>
      </c>
      <c r="P811" s="835" t="s">
        <v>3440</v>
      </c>
      <c r="Q811" s="6"/>
      <c r="R811" s="6"/>
      <c r="S811" s="6"/>
      <c r="T811" s="6"/>
      <c r="U811" s="831" t="s">
        <v>3444</v>
      </c>
      <c r="V811" s="836"/>
    </row>
    <row r="812" spans="2:22" s="829" customFormat="1" ht="63.75">
      <c r="B812" s="830"/>
      <c r="C812" s="830">
        <v>15.02</v>
      </c>
      <c r="D812" s="830"/>
      <c r="E812" s="6" t="s">
        <v>1166</v>
      </c>
      <c r="F812" s="831" t="s">
        <v>3453</v>
      </c>
      <c r="G812" s="831" t="s">
        <v>3460</v>
      </c>
      <c r="H812" s="832" t="s">
        <v>1357</v>
      </c>
      <c r="I812" s="6" t="s">
        <v>3452</v>
      </c>
      <c r="J812" s="6">
        <v>150000</v>
      </c>
      <c r="K812" s="6">
        <v>163909.04999999999</v>
      </c>
      <c r="L812" s="6">
        <v>204000</v>
      </c>
      <c r="M812" s="833">
        <v>0.36</v>
      </c>
      <c r="N812" s="833">
        <v>0.24459265672029712</v>
      </c>
      <c r="O812" s="834">
        <v>337500</v>
      </c>
      <c r="P812" s="835" t="s">
        <v>3440</v>
      </c>
      <c r="Q812" s="6"/>
      <c r="R812" s="6"/>
      <c r="S812" s="6"/>
      <c r="T812" s="6"/>
      <c r="U812" s="831" t="s">
        <v>3444</v>
      </c>
      <c r="V812" s="836"/>
    </row>
    <row r="813" spans="2:22" s="829" customFormat="1" ht="63.75">
      <c r="B813" s="830"/>
      <c r="C813" s="830">
        <v>15.03</v>
      </c>
      <c r="D813" s="830"/>
      <c r="E813" s="6" t="s">
        <v>1166</v>
      </c>
      <c r="F813" s="831" t="s">
        <v>3455</v>
      </c>
      <c r="G813" s="831" t="s">
        <v>3461</v>
      </c>
      <c r="H813" s="832" t="s">
        <v>1357</v>
      </c>
      <c r="I813" s="6" t="s">
        <v>3452</v>
      </c>
      <c r="J813" s="6">
        <v>300000</v>
      </c>
      <c r="K813" s="6">
        <v>327818.09999999998</v>
      </c>
      <c r="L813" s="6">
        <v>385000</v>
      </c>
      <c r="M813" s="833">
        <v>0.28333333333333333</v>
      </c>
      <c r="N813" s="833">
        <v>0.17443179616988821</v>
      </c>
      <c r="O813" s="834">
        <v>638000</v>
      </c>
      <c r="P813" s="835" t="s">
        <v>3440</v>
      </c>
      <c r="Q813" s="6"/>
      <c r="R813" s="6"/>
      <c r="S813" s="6"/>
      <c r="T813" s="6"/>
      <c r="U813" s="831" t="s">
        <v>3444</v>
      </c>
      <c r="V813" s="836"/>
    </row>
    <row r="814" spans="2:22" s="829" customFormat="1" ht="51">
      <c r="B814" s="830"/>
      <c r="C814" s="830">
        <v>15.04</v>
      </c>
      <c r="D814" s="830"/>
      <c r="E814" s="6" t="s">
        <v>1166</v>
      </c>
      <c r="F814" s="831" t="s">
        <v>3457</v>
      </c>
      <c r="G814" s="831" t="s">
        <v>3462</v>
      </c>
      <c r="H814" s="832" t="s">
        <v>1357</v>
      </c>
      <c r="I814" s="6" t="s">
        <v>3452</v>
      </c>
      <c r="J814" s="6">
        <v>500000</v>
      </c>
      <c r="K814" s="6">
        <v>546363.5</v>
      </c>
      <c r="L814" s="855">
        <v>474000</v>
      </c>
      <c r="M814" s="833">
        <v>-5.1999999999999998E-2</v>
      </c>
      <c r="N814" s="833">
        <v>-0.13244570693320473</v>
      </c>
      <c r="O814" s="834">
        <v>785000</v>
      </c>
      <c r="P814" s="835" t="s">
        <v>3440</v>
      </c>
      <c r="Q814" s="6"/>
      <c r="R814" s="6"/>
      <c r="S814" s="6"/>
      <c r="T814" s="6"/>
      <c r="U814" s="831" t="s">
        <v>3444</v>
      </c>
      <c r="V814" s="836"/>
    </row>
    <row r="815" spans="2:22" s="829" customFormat="1" ht="51">
      <c r="B815" s="830"/>
      <c r="C815" s="830">
        <v>15.01</v>
      </c>
      <c r="D815" s="830"/>
      <c r="E815" s="6" t="s">
        <v>1166</v>
      </c>
      <c r="F815" s="831" t="s">
        <v>3450</v>
      </c>
      <c r="G815" s="831" t="s">
        <v>3463</v>
      </c>
      <c r="H815" s="832" t="s">
        <v>1357</v>
      </c>
      <c r="I815" s="6" t="s">
        <v>3452</v>
      </c>
      <c r="J815" s="6">
        <v>100000</v>
      </c>
      <c r="K815" s="6">
        <v>109272.7</v>
      </c>
      <c r="L815" s="6">
        <v>121000</v>
      </c>
      <c r="M815" s="833">
        <v>0.21</v>
      </c>
      <c r="N815" s="833">
        <v>0.10732140781732311</v>
      </c>
      <c r="O815" s="834">
        <v>201000</v>
      </c>
      <c r="P815" s="835" t="s">
        <v>3440</v>
      </c>
      <c r="Q815" s="6"/>
      <c r="R815" s="6"/>
      <c r="S815" s="6"/>
      <c r="T815" s="6"/>
      <c r="U815" s="831" t="s">
        <v>3444</v>
      </c>
      <c r="V815" s="836"/>
    </row>
    <row r="816" spans="2:22" s="829" customFormat="1" ht="63.75">
      <c r="B816" s="830"/>
      <c r="C816" s="830">
        <v>15.02</v>
      </c>
      <c r="D816" s="830"/>
      <c r="E816" s="6" t="s">
        <v>1166</v>
      </c>
      <c r="F816" s="831" t="s">
        <v>3453</v>
      </c>
      <c r="G816" s="831" t="s">
        <v>3464</v>
      </c>
      <c r="H816" s="832" t="s">
        <v>1357</v>
      </c>
      <c r="I816" s="6" t="s">
        <v>3452</v>
      </c>
      <c r="J816" s="6">
        <v>150000</v>
      </c>
      <c r="K816" s="6">
        <v>163909.04999999999</v>
      </c>
      <c r="L816" s="6">
        <v>221000</v>
      </c>
      <c r="M816" s="833">
        <v>0.47333333333333333</v>
      </c>
      <c r="N816" s="833">
        <v>0.34830871144698855</v>
      </c>
      <c r="O816" s="834">
        <v>368500</v>
      </c>
      <c r="P816" s="835" t="s">
        <v>3440</v>
      </c>
      <c r="Q816" s="6"/>
      <c r="R816" s="6"/>
      <c r="S816" s="6"/>
      <c r="T816" s="6"/>
      <c r="U816" s="831" t="s">
        <v>3444</v>
      </c>
      <c r="V816" s="836"/>
    </row>
    <row r="817" spans="2:22" s="829" customFormat="1" ht="63.75">
      <c r="B817" s="830"/>
      <c r="C817" s="830">
        <v>15.03</v>
      </c>
      <c r="D817" s="830"/>
      <c r="E817" s="6" t="s">
        <v>1166</v>
      </c>
      <c r="F817" s="831" t="s">
        <v>3455</v>
      </c>
      <c r="G817" s="831" t="s">
        <v>3465</v>
      </c>
      <c r="H817" s="832" t="s">
        <v>1357</v>
      </c>
      <c r="I817" s="6" t="s">
        <v>3452</v>
      </c>
      <c r="J817" s="6">
        <v>300000</v>
      </c>
      <c r="K817" s="6">
        <v>327818.09999999998</v>
      </c>
      <c r="L817" s="6">
        <v>418000</v>
      </c>
      <c r="M817" s="833">
        <v>0.39333333333333331</v>
      </c>
      <c r="N817" s="833">
        <v>0.27509737869873574</v>
      </c>
      <c r="O817" s="834">
        <v>697000</v>
      </c>
      <c r="P817" s="835" t="s">
        <v>3440</v>
      </c>
      <c r="Q817" s="6"/>
      <c r="R817" s="6"/>
      <c r="S817" s="6"/>
      <c r="T817" s="6"/>
      <c r="U817" s="831" t="s">
        <v>3444</v>
      </c>
      <c r="V817" s="836"/>
    </row>
    <row r="818" spans="2:22" s="829" customFormat="1" ht="51">
      <c r="B818" s="830"/>
      <c r="C818" s="830">
        <v>15.04</v>
      </c>
      <c r="D818" s="830"/>
      <c r="E818" s="6" t="s">
        <v>1166</v>
      </c>
      <c r="F818" s="831" t="s">
        <v>3457</v>
      </c>
      <c r="G818" s="831" t="s">
        <v>3466</v>
      </c>
      <c r="H818" s="832" t="s">
        <v>1357</v>
      </c>
      <c r="I818" s="6" t="s">
        <v>3452</v>
      </c>
      <c r="J818" s="6">
        <v>500000</v>
      </c>
      <c r="K818" s="6">
        <v>546363.5</v>
      </c>
      <c r="L818" s="855">
        <v>515000</v>
      </c>
      <c r="M818" s="833">
        <v>0.03</v>
      </c>
      <c r="N818" s="833">
        <v>-5.7404090866245643E-2</v>
      </c>
      <c r="O818" s="834">
        <v>858000</v>
      </c>
      <c r="P818" s="835" t="s">
        <v>3440</v>
      </c>
      <c r="Q818" s="6"/>
      <c r="R818" s="6"/>
      <c r="S818" s="6"/>
      <c r="T818" s="6"/>
      <c r="U818" s="831" t="s">
        <v>3444</v>
      </c>
      <c r="V818" s="836"/>
    </row>
    <row r="819" spans="2:22" s="829" customFormat="1" ht="63.75">
      <c r="B819" s="830"/>
      <c r="C819" s="830">
        <v>15.01</v>
      </c>
      <c r="D819" s="830"/>
      <c r="E819" s="6" t="s">
        <v>1166</v>
      </c>
      <c r="F819" s="831" t="s">
        <v>3450</v>
      </c>
      <c r="G819" s="831" t="s">
        <v>3467</v>
      </c>
      <c r="H819" s="832" t="s">
        <v>1357</v>
      </c>
      <c r="I819" s="6" t="s">
        <v>3452</v>
      </c>
      <c r="J819" s="6">
        <v>100000</v>
      </c>
      <c r="K819" s="6">
        <v>109272.7</v>
      </c>
      <c r="L819" s="6">
        <v>118000</v>
      </c>
      <c r="M819" s="833">
        <v>0.18</v>
      </c>
      <c r="N819" s="833">
        <v>7.9867158036728322E-2</v>
      </c>
      <c r="O819" s="834">
        <v>268000</v>
      </c>
      <c r="P819" s="835" t="s">
        <v>3440</v>
      </c>
      <c r="Q819" s="6"/>
      <c r="R819" s="6"/>
      <c r="S819" s="6"/>
      <c r="T819" s="6"/>
      <c r="U819" s="831" t="s">
        <v>3444</v>
      </c>
      <c r="V819" s="836"/>
    </row>
    <row r="820" spans="2:22" s="829" customFormat="1" ht="63.75">
      <c r="B820" s="830"/>
      <c r="C820" s="830">
        <v>15.02</v>
      </c>
      <c r="D820" s="830"/>
      <c r="E820" s="6" t="s">
        <v>1166</v>
      </c>
      <c r="F820" s="831" t="s">
        <v>3453</v>
      </c>
      <c r="G820" s="831" t="s">
        <v>3468</v>
      </c>
      <c r="H820" s="832" t="s">
        <v>1357</v>
      </c>
      <c r="I820" s="6" t="s">
        <v>3452</v>
      </c>
      <c r="J820" s="6">
        <v>150000</v>
      </c>
      <c r="K820" s="6">
        <v>163909.04999999999</v>
      </c>
      <c r="L820" s="6">
        <v>217000</v>
      </c>
      <c r="M820" s="833">
        <v>0.44666666666666666</v>
      </c>
      <c r="N820" s="833">
        <v>0.32390493386423763</v>
      </c>
      <c r="O820" s="834">
        <v>471000</v>
      </c>
      <c r="P820" s="835" t="s">
        <v>3440</v>
      </c>
      <c r="Q820" s="6"/>
      <c r="R820" s="6"/>
      <c r="S820" s="6"/>
      <c r="T820" s="6"/>
      <c r="U820" s="831" t="s">
        <v>3444</v>
      </c>
      <c r="V820" s="836"/>
    </row>
    <row r="821" spans="2:22" s="829" customFormat="1" ht="63.75">
      <c r="B821" s="830"/>
      <c r="C821" s="830">
        <v>15.03</v>
      </c>
      <c r="D821" s="830"/>
      <c r="E821" s="6" t="s">
        <v>1166</v>
      </c>
      <c r="F821" s="831" t="s">
        <v>3455</v>
      </c>
      <c r="G821" s="831" t="s">
        <v>3469</v>
      </c>
      <c r="H821" s="832" t="s">
        <v>1357</v>
      </c>
      <c r="I821" s="6" t="s">
        <v>3452</v>
      </c>
      <c r="J821" s="6">
        <v>300000</v>
      </c>
      <c r="K821" s="6">
        <v>327818.09999999998</v>
      </c>
      <c r="L821" s="6">
        <v>410000</v>
      </c>
      <c r="M821" s="833">
        <v>0.36666666666666664</v>
      </c>
      <c r="N821" s="833">
        <v>0.25069360111598482</v>
      </c>
      <c r="O821" s="834">
        <v>900500</v>
      </c>
      <c r="P821" s="835" t="s">
        <v>3440</v>
      </c>
      <c r="Q821" s="6"/>
      <c r="R821" s="6"/>
      <c r="S821" s="6"/>
      <c r="T821" s="6"/>
      <c r="U821" s="831" t="s">
        <v>3444</v>
      </c>
      <c r="V821" s="836"/>
    </row>
    <row r="822" spans="2:22" s="829" customFormat="1" ht="63.75">
      <c r="B822" s="830"/>
      <c r="C822" s="830">
        <v>15.04</v>
      </c>
      <c r="D822" s="830"/>
      <c r="E822" s="6" t="s">
        <v>1166</v>
      </c>
      <c r="F822" s="831" t="s">
        <v>3457</v>
      </c>
      <c r="G822" s="831" t="s">
        <v>3470</v>
      </c>
      <c r="H822" s="832" t="s">
        <v>1357</v>
      </c>
      <c r="I822" s="6" t="s">
        <v>3452</v>
      </c>
      <c r="J822" s="6">
        <v>500000</v>
      </c>
      <c r="K822" s="6">
        <v>546363.5</v>
      </c>
      <c r="L822" s="855">
        <v>505000</v>
      </c>
      <c r="M822" s="833">
        <v>0.01</v>
      </c>
      <c r="N822" s="833">
        <v>-7.5706924053308838E-2</v>
      </c>
      <c r="O822" s="834">
        <v>1127000</v>
      </c>
      <c r="P822" s="835" t="s">
        <v>3440</v>
      </c>
      <c r="Q822" s="6"/>
      <c r="R822" s="6"/>
      <c r="S822" s="6"/>
      <c r="T822" s="6"/>
      <c r="U822" s="831" t="s">
        <v>3444</v>
      </c>
      <c r="V822" s="836"/>
    </row>
    <row r="823" spans="2:22" s="829" customFormat="1" ht="63.75">
      <c r="B823" s="830"/>
      <c r="C823" s="830">
        <v>15.05</v>
      </c>
      <c r="D823" s="830"/>
      <c r="E823" s="863" t="s">
        <v>1</v>
      </c>
      <c r="F823" s="831" t="s">
        <v>53</v>
      </c>
      <c r="G823" s="831" t="s">
        <v>3471</v>
      </c>
      <c r="H823" s="832" t="s">
        <v>268</v>
      </c>
      <c r="I823" s="864" t="s">
        <v>223</v>
      </c>
      <c r="J823" s="864">
        <v>0.1</v>
      </c>
      <c r="K823" s="6">
        <v>0.1092727</v>
      </c>
      <c r="L823" s="864">
        <v>0.1</v>
      </c>
      <c r="M823" s="833">
        <v>0</v>
      </c>
      <c r="N823" s="833">
        <v>-8.4858340646840377E-2</v>
      </c>
      <c r="O823" s="834"/>
      <c r="P823" s="835"/>
      <c r="Q823" s="864"/>
      <c r="R823" s="864"/>
      <c r="S823" s="864"/>
      <c r="T823" s="864"/>
      <c r="U823" s="831" t="s">
        <v>3472</v>
      </c>
      <c r="V823" s="836"/>
    </row>
    <row r="824" spans="2:22" s="829" customFormat="1" ht="63.75">
      <c r="B824" s="830"/>
      <c r="C824" s="830">
        <v>15.06</v>
      </c>
      <c r="D824" s="830"/>
      <c r="E824" s="863" t="s">
        <v>1</v>
      </c>
      <c r="F824" s="831" t="s">
        <v>3473</v>
      </c>
      <c r="G824" s="831"/>
      <c r="H824" s="832" t="s">
        <v>268</v>
      </c>
      <c r="I824" s="864"/>
      <c r="J824" s="864">
        <v>0.1</v>
      </c>
      <c r="K824" s="865">
        <v>0.1</v>
      </c>
      <c r="L824" s="928">
        <v>0.2</v>
      </c>
      <c r="M824" s="833">
        <v>1</v>
      </c>
      <c r="N824" s="833">
        <v>1</v>
      </c>
      <c r="O824" s="834"/>
      <c r="P824" s="835"/>
      <c r="Q824" s="864"/>
      <c r="R824" s="864"/>
      <c r="S824" s="864"/>
      <c r="T824" s="864"/>
      <c r="U824" s="831" t="s">
        <v>3474</v>
      </c>
      <c r="V824" s="836"/>
    </row>
    <row r="825" spans="2:22" s="829" customFormat="1" ht="63.75">
      <c r="B825" s="830"/>
      <c r="C825" s="830">
        <v>15.07</v>
      </c>
      <c r="D825" s="830"/>
      <c r="E825" s="863" t="s">
        <v>1</v>
      </c>
      <c r="F825" s="831" t="s">
        <v>3475</v>
      </c>
      <c r="G825" s="831"/>
      <c r="H825" s="832" t="s">
        <v>268</v>
      </c>
      <c r="I825" s="864"/>
      <c r="J825" s="864">
        <v>0.1</v>
      </c>
      <c r="K825" s="866">
        <v>0.1</v>
      </c>
      <c r="L825" s="929"/>
      <c r="M825" s="833">
        <v>-1</v>
      </c>
      <c r="N825" s="833">
        <v>-1</v>
      </c>
      <c r="O825" s="834"/>
      <c r="P825" s="844"/>
      <c r="Q825" s="864"/>
      <c r="R825" s="864"/>
      <c r="S825" s="864"/>
      <c r="T825" s="864"/>
      <c r="U825" s="831" t="s">
        <v>3476</v>
      </c>
      <c r="V825" s="836"/>
    </row>
  </sheetData>
  <sheetProtection algorithmName="SHA-512" hashValue="+mrc9EXPBfcO+61jYueaEPuA+pffuURCR5P0BThKdjh+wUhgTI1rXHGzVDURboxQOdISL2S90RQKixdv5q0Gsg==" saltValue="2ratENiCoEHAIxGw4WnMtA==" spinCount="100000" sheet="1" objects="1" scenarios="1" autoFilter="0"/>
  <mergeCells count="1">
    <mergeCell ref="L824:L825"/>
  </mergeCells>
  <phoneticPr fontId="21" type="noConversion"/>
  <conditionalFormatting sqref="M5:N77 M79:N81 M83:N120 M122:N142 M144:N166 M168:N170 M172:N485 M487:N617 M619:N635 M637:N672 M674:N766 M768:N771 M773:N783 M785:N786 M788:N801 M803:N825">
    <cfRule type="cellIs" dxfId="1" priority="27" operator="lessThan">
      <formula>-$M$2</formula>
    </cfRule>
    <cfRule type="cellIs" dxfId="0" priority="28" operator="greaterThan">
      <formula>$M$2</formula>
    </cfRule>
  </conditionalFormatting>
  <hyperlinks>
    <hyperlink ref="D1" location="RCE_Summary" display="RCE Summary" xr:uid="{A756AD41-37A9-4296-B7C4-A51AE63E73AE}"/>
  </hyperlinks>
  <printOptions horizontalCentered="1"/>
  <pageMargins left="0.6692913385826772" right="0.6692913385826772" top="0.23622047244094491" bottom="0.39370078740157483" header="0.51181102362204722" footer="0.51181102362204722"/>
  <pageSetup paperSize="8" scale="31" fitToHeight="0" orientation="portrait" r:id="rId1"/>
  <headerFooter alignWithMargins="0"/>
  <rowBreaks count="3" manualBreakCount="3">
    <brk id="120" min="2" max="20" man="1"/>
    <brk id="635" min="2" max="20" man="1"/>
    <brk id="766" min="2" max="20"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066B2-84C9-48D9-9DA9-6A06313BEE97}">
  <sheetPr codeName="Sheet21">
    <tabColor theme="4" tint="0.59999389629810485"/>
  </sheetPr>
  <dimension ref="B2:E100"/>
  <sheetViews>
    <sheetView showGridLines="0" zoomScaleNormal="100" workbookViewId="0">
      <pane ySplit="6" topLeftCell="A7" activePane="bottomLeft" state="frozen"/>
      <selection pane="bottomLeft"/>
    </sheetView>
  </sheetViews>
  <sheetFormatPr defaultColWidth="8.7109375" defaultRowHeight="12.75"/>
  <cols>
    <col min="1" max="1" width="4.42578125" style="231" customWidth="1"/>
    <col min="2" max="2" width="16.140625" style="231" customWidth="1"/>
    <col min="3" max="3" width="12" style="231" customWidth="1"/>
    <col min="4" max="4" width="17" style="231" bestFit="1" customWidth="1"/>
    <col min="5" max="5" width="103.5703125" style="231" customWidth="1"/>
    <col min="6" max="16384" width="8.7109375" style="231"/>
  </cols>
  <sheetData>
    <row r="2" spans="2:5">
      <c r="B2" s="259" t="s">
        <v>1</v>
      </c>
    </row>
    <row r="3" spans="2:5">
      <c r="B3" s="271"/>
    </row>
    <row r="4" spans="2:5" ht="15.95" customHeight="1">
      <c r="B4" s="301" t="s">
        <v>3477</v>
      </c>
      <c r="C4" s="271" t="str">
        <f>CONCATENATE(CompanyName," - ",Mine_Name)</f>
        <v>Boral Cement - Marulan South Limestone Mine</v>
      </c>
    </row>
    <row r="5" spans="2:5" ht="15.95" customHeight="1">
      <c r="E5" s="271"/>
    </row>
    <row r="6" spans="2:5" ht="15.95" customHeight="1">
      <c r="B6" s="759" t="s">
        <v>3478</v>
      </c>
      <c r="C6" s="872" t="s">
        <v>112</v>
      </c>
      <c r="D6" s="759" t="s">
        <v>3479</v>
      </c>
      <c r="E6" s="759" t="s">
        <v>3480</v>
      </c>
    </row>
    <row r="7" spans="2:5" ht="15.95" customHeight="1">
      <c r="B7" s="262"/>
      <c r="C7" s="262"/>
      <c r="D7" s="262"/>
      <c r="E7" s="873"/>
    </row>
    <row r="8" spans="2:5" ht="15.95" customHeight="1">
      <c r="B8" s="262"/>
      <c r="C8" s="262"/>
      <c r="D8" s="262"/>
      <c r="E8" s="873"/>
    </row>
    <row r="9" spans="2:5" ht="15.95" customHeight="1">
      <c r="B9" s="262"/>
      <c r="C9" s="262"/>
      <c r="D9" s="262"/>
      <c r="E9" s="873"/>
    </row>
    <row r="10" spans="2:5" ht="15.95" customHeight="1">
      <c r="B10" s="262"/>
      <c r="C10" s="262"/>
      <c r="D10" s="262"/>
      <c r="E10" s="873"/>
    </row>
    <row r="11" spans="2:5" ht="15.95" customHeight="1">
      <c r="B11" s="262"/>
      <c r="C11" s="262"/>
      <c r="D11" s="262"/>
      <c r="E11" s="873"/>
    </row>
    <row r="12" spans="2:5" ht="15.95" customHeight="1">
      <c r="B12" s="262"/>
      <c r="C12" s="262"/>
      <c r="D12" s="262"/>
      <c r="E12" s="873"/>
    </row>
    <row r="13" spans="2:5" ht="15.95" customHeight="1">
      <c r="B13" s="262"/>
      <c r="C13" s="262"/>
      <c r="D13" s="262"/>
      <c r="E13" s="873"/>
    </row>
    <row r="14" spans="2:5" ht="15.95" customHeight="1">
      <c r="B14" s="262"/>
      <c r="C14" s="262"/>
      <c r="D14" s="262"/>
      <c r="E14" s="873"/>
    </row>
    <row r="15" spans="2:5" ht="15.95" customHeight="1">
      <c r="B15" s="262"/>
      <c r="C15" s="262"/>
      <c r="D15" s="262"/>
      <c r="E15" s="873"/>
    </row>
    <row r="16" spans="2:5" ht="15.95" customHeight="1">
      <c r="B16" s="262"/>
      <c r="C16" s="262"/>
      <c r="D16" s="262"/>
      <c r="E16" s="873"/>
    </row>
    <row r="17" spans="2:5" ht="15.95" customHeight="1">
      <c r="B17" s="262"/>
      <c r="C17" s="262"/>
      <c r="D17" s="262"/>
      <c r="E17" s="873"/>
    </row>
    <row r="18" spans="2:5" ht="15.95" customHeight="1">
      <c r="B18" s="262"/>
      <c r="C18" s="262"/>
      <c r="D18" s="262"/>
      <c r="E18" s="873"/>
    </row>
    <row r="19" spans="2:5" ht="15.95" customHeight="1">
      <c r="B19" s="262"/>
      <c r="C19" s="262"/>
      <c r="D19" s="262"/>
      <c r="E19" s="873"/>
    </row>
    <row r="20" spans="2:5" ht="15.95" customHeight="1">
      <c r="B20" s="262"/>
      <c r="C20" s="262"/>
      <c r="D20" s="262"/>
      <c r="E20" s="873"/>
    </row>
    <row r="21" spans="2:5" ht="15.95" customHeight="1">
      <c r="B21" s="262"/>
      <c r="C21" s="262"/>
      <c r="D21" s="262"/>
      <c r="E21" s="873"/>
    </row>
    <row r="22" spans="2:5" ht="15.95" customHeight="1">
      <c r="B22" s="262"/>
      <c r="C22" s="262"/>
      <c r="D22" s="262"/>
      <c r="E22" s="873"/>
    </row>
    <row r="23" spans="2:5" ht="15.95" customHeight="1">
      <c r="B23" s="262"/>
      <c r="C23" s="262"/>
      <c r="D23" s="262"/>
      <c r="E23" s="873"/>
    </row>
    <row r="24" spans="2:5" ht="15.95" customHeight="1">
      <c r="B24" s="262"/>
      <c r="C24" s="262"/>
      <c r="D24" s="262"/>
      <c r="E24" s="873"/>
    </row>
    <row r="25" spans="2:5" ht="15.95" customHeight="1">
      <c r="B25" s="262"/>
      <c r="C25" s="262"/>
      <c r="D25" s="262"/>
      <c r="E25" s="873"/>
    </row>
    <row r="26" spans="2:5" ht="15.95" customHeight="1">
      <c r="B26" s="262"/>
      <c r="C26" s="262"/>
      <c r="D26" s="262"/>
      <c r="E26" s="873"/>
    </row>
    <row r="27" spans="2:5" ht="15.95" customHeight="1">
      <c r="B27" s="262"/>
      <c r="C27" s="262"/>
      <c r="D27" s="262"/>
      <c r="E27" s="873"/>
    </row>
    <row r="28" spans="2:5" ht="15.95" customHeight="1">
      <c r="B28" s="262"/>
      <c r="C28" s="262"/>
      <c r="D28" s="262"/>
      <c r="E28" s="873"/>
    </row>
    <row r="29" spans="2:5" ht="15.95" customHeight="1">
      <c r="B29" s="262"/>
      <c r="C29" s="262"/>
      <c r="D29" s="262"/>
      <c r="E29" s="873"/>
    </row>
    <row r="30" spans="2:5" ht="15.95" customHeight="1">
      <c r="B30" s="262"/>
      <c r="C30" s="262"/>
      <c r="D30" s="262"/>
      <c r="E30" s="873"/>
    </row>
    <row r="31" spans="2:5" ht="15.95" customHeight="1">
      <c r="B31" s="262"/>
      <c r="C31" s="262"/>
      <c r="D31" s="262"/>
      <c r="E31" s="873"/>
    </row>
    <row r="32" spans="2:5" ht="15.95" customHeight="1">
      <c r="B32" s="262"/>
      <c r="C32" s="262"/>
      <c r="D32" s="262"/>
      <c r="E32" s="873"/>
    </row>
    <row r="33" spans="2:5" ht="15.95" customHeight="1">
      <c r="B33" s="262"/>
      <c r="C33" s="262"/>
      <c r="D33" s="262"/>
      <c r="E33" s="873"/>
    </row>
    <row r="34" spans="2:5" ht="15.95" customHeight="1">
      <c r="B34" s="262"/>
      <c r="C34" s="262"/>
      <c r="D34" s="262"/>
      <c r="E34" s="873"/>
    </row>
    <row r="35" spans="2:5" ht="15.95" customHeight="1">
      <c r="B35" s="262"/>
      <c r="C35" s="262"/>
      <c r="D35" s="262"/>
      <c r="E35" s="873"/>
    </row>
    <row r="36" spans="2:5" ht="15.95" customHeight="1">
      <c r="B36" s="262"/>
      <c r="C36" s="262"/>
      <c r="D36" s="262"/>
      <c r="E36" s="873"/>
    </row>
    <row r="37" spans="2:5" ht="15.95" customHeight="1">
      <c r="B37" s="262"/>
      <c r="C37" s="262"/>
      <c r="D37" s="262"/>
      <c r="E37" s="873"/>
    </row>
    <row r="38" spans="2:5" ht="15.95" customHeight="1">
      <c r="B38" s="262"/>
      <c r="C38" s="262"/>
      <c r="D38" s="262"/>
      <c r="E38" s="873"/>
    </row>
    <row r="39" spans="2:5" ht="15.95" customHeight="1">
      <c r="B39" s="262"/>
      <c r="C39" s="262"/>
      <c r="D39" s="262"/>
      <c r="E39" s="873"/>
    </row>
    <row r="40" spans="2:5" ht="15.95" customHeight="1">
      <c r="B40" s="262"/>
      <c r="C40" s="262"/>
      <c r="D40" s="262"/>
      <c r="E40" s="873"/>
    </row>
    <row r="41" spans="2:5" ht="15.95" customHeight="1">
      <c r="B41" s="262"/>
      <c r="C41" s="262"/>
      <c r="D41" s="262"/>
      <c r="E41" s="873"/>
    </row>
    <row r="42" spans="2:5" ht="15.95" customHeight="1">
      <c r="B42" s="262"/>
      <c r="C42" s="262"/>
      <c r="D42" s="262"/>
      <c r="E42" s="873"/>
    </row>
    <row r="43" spans="2:5" ht="15.95" customHeight="1">
      <c r="B43" s="262"/>
      <c r="C43" s="262"/>
      <c r="D43" s="262"/>
      <c r="E43" s="873"/>
    </row>
    <row r="44" spans="2:5" ht="15.95" customHeight="1">
      <c r="B44" s="262"/>
      <c r="C44" s="262"/>
      <c r="D44" s="262"/>
      <c r="E44" s="873"/>
    </row>
    <row r="45" spans="2:5" ht="15.95" customHeight="1">
      <c r="B45" s="262"/>
      <c r="C45" s="262"/>
      <c r="D45" s="262"/>
      <c r="E45" s="873"/>
    </row>
    <row r="46" spans="2:5" ht="15.95" customHeight="1">
      <c r="B46" s="262"/>
      <c r="C46" s="262"/>
      <c r="D46" s="262"/>
      <c r="E46" s="873"/>
    </row>
    <row r="47" spans="2:5" ht="15.95" customHeight="1">
      <c r="B47" s="262"/>
      <c r="C47" s="262"/>
      <c r="D47" s="262"/>
      <c r="E47" s="873"/>
    </row>
    <row r="48" spans="2:5" ht="15.95" customHeight="1">
      <c r="B48" s="262"/>
      <c r="C48" s="262"/>
      <c r="D48" s="262"/>
      <c r="E48" s="873"/>
    </row>
    <row r="49" spans="2:5" ht="15.95" customHeight="1">
      <c r="B49" s="262"/>
      <c r="C49" s="262"/>
      <c r="D49" s="262"/>
      <c r="E49" s="873"/>
    </row>
    <row r="50" spans="2:5" ht="15.95" customHeight="1">
      <c r="B50" s="262"/>
      <c r="C50" s="262"/>
      <c r="D50" s="262"/>
      <c r="E50" s="873"/>
    </row>
    <row r="51" spans="2:5" ht="15.95" customHeight="1">
      <c r="B51" s="262"/>
      <c r="C51" s="262"/>
      <c r="D51" s="262"/>
      <c r="E51" s="873"/>
    </row>
    <row r="52" spans="2:5" ht="15.95" customHeight="1">
      <c r="B52" s="262"/>
      <c r="C52" s="262"/>
      <c r="D52" s="262"/>
      <c r="E52" s="873"/>
    </row>
    <row r="53" spans="2:5" ht="15.95" customHeight="1">
      <c r="B53" s="262"/>
      <c r="C53" s="262"/>
      <c r="D53" s="262"/>
      <c r="E53" s="873"/>
    </row>
    <row r="54" spans="2:5" ht="15.95" customHeight="1">
      <c r="B54" s="262"/>
      <c r="C54" s="262"/>
      <c r="D54" s="262"/>
      <c r="E54" s="873"/>
    </row>
    <row r="55" spans="2:5" ht="15.95" customHeight="1">
      <c r="B55" s="262"/>
      <c r="C55" s="262"/>
      <c r="D55" s="262"/>
      <c r="E55" s="873"/>
    </row>
    <row r="56" spans="2:5" ht="15.95" customHeight="1">
      <c r="B56" s="262"/>
      <c r="C56" s="262"/>
      <c r="D56" s="262"/>
      <c r="E56" s="873"/>
    </row>
    <row r="57" spans="2:5" ht="15.95" customHeight="1">
      <c r="B57" s="262"/>
      <c r="C57" s="262"/>
      <c r="D57" s="262"/>
      <c r="E57" s="873"/>
    </row>
    <row r="58" spans="2:5" ht="15.95" customHeight="1">
      <c r="B58" s="262"/>
      <c r="C58" s="262"/>
      <c r="D58" s="262"/>
      <c r="E58" s="873"/>
    </row>
    <row r="59" spans="2:5" ht="15.95" customHeight="1">
      <c r="B59" s="262"/>
      <c r="C59" s="262"/>
      <c r="D59" s="262"/>
      <c r="E59" s="873"/>
    </row>
    <row r="60" spans="2:5" ht="15.95" customHeight="1">
      <c r="B60" s="262"/>
      <c r="C60" s="262"/>
      <c r="D60" s="262"/>
      <c r="E60" s="873"/>
    </row>
    <row r="61" spans="2:5" ht="15.95" customHeight="1">
      <c r="B61" s="262"/>
      <c r="C61" s="262"/>
      <c r="D61" s="262"/>
      <c r="E61" s="873"/>
    </row>
    <row r="62" spans="2:5" ht="15.95" customHeight="1">
      <c r="B62" s="262"/>
      <c r="C62" s="262"/>
      <c r="D62" s="262"/>
      <c r="E62" s="873"/>
    </row>
    <row r="63" spans="2:5" ht="15.95" customHeight="1">
      <c r="B63" s="262"/>
      <c r="C63" s="262"/>
      <c r="D63" s="262"/>
      <c r="E63" s="873"/>
    </row>
    <row r="64" spans="2:5" ht="15.95" customHeight="1">
      <c r="B64" s="262"/>
      <c r="C64" s="262"/>
      <c r="D64" s="262"/>
      <c r="E64" s="873"/>
    </row>
    <row r="65" spans="2:5" ht="15.95" customHeight="1">
      <c r="B65" s="262"/>
      <c r="C65" s="262"/>
      <c r="D65" s="262"/>
      <c r="E65" s="873"/>
    </row>
    <row r="66" spans="2:5" ht="15.95" customHeight="1">
      <c r="B66" s="262"/>
      <c r="C66" s="262"/>
      <c r="D66" s="262"/>
      <c r="E66" s="873"/>
    </row>
    <row r="67" spans="2:5" ht="15.95" customHeight="1">
      <c r="B67" s="262"/>
      <c r="C67" s="262"/>
      <c r="D67" s="262"/>
      <c r="E67" s="873"/>
    </row>
    <row r="68" spans="2:5" ht="15.95" customHeight="1">
      <c r="B68" s="262"/>
      <c r="C68" s="262"/>
      <c r="D68" s="262"/>
      <c r="E68" s="873"/>
    </row>
    <row r="69" spans="2:5" ht="15.95" customHeight="1">
      <c r="B69" s="262"/>
      <c r="C69" s="262"/>
      <c r="D69" s="262"/>
      <c r="E69" s="873"/>
    </row>
    <row r="70" spans="2:5" ht="15.95" customHeight="1">
      <c r="B70" s="262"/>
      <c r="C70" s="262"/>
      <c r="D70" s="262"/>
      <c r="E70" s="873"/>
    </row>
    <row r="71" spans="2:5" ht="15.95" customHeight="1">
      <c r="B71" s="262"/>
      <c r="C71" s="262"/>
      <c r="D71" s="262"/>
      <c r="E71" s="873"/>
    </row>
    <row r="72" spans="2:5" ht="15.95" customHeight="1">
      <c r="B72" s="262"/>
      <c r="C72" s="262"/>
      <c r="D72" s="262"/>
      <c r="E72" s="873"/>
    </row>
    <row r="73" spans="2:5" ht="15.95" customHeight="1">
      <c r="B73" s="262"/>
      <c r="C73" s="262"/>
      <c r="D73" s="262"/>
      <c r="E73" s="873"/>
    </row>
    <row r="74" spans="2:5" ht="15.95" customHeight="1">
      <c r="B74" s="262"/>
      <c r="C74" s="262"/>
      <c r="D74" s="262"/>
      <c r="E74" s="873"/>
    </row>
    <row r="75" spans="2:5" ht="15.95" customHeight="1">
      <c r="B75" s="262"/>
      <c r="C75" s="262"/>
      <c r="D75" s="262"/>
      <c r="E75" s="873"/>
    </row>
    <row r="76" spans="2:5" ht="15.95" customHeight="1">
      <c r="B76" s="262"/>
      <c r="C76" s="262"/>
      <c r="D76" s="262"/>
      <c r="E76" s="873"/>
    </row>
    <row r="77" spans="2:5" ht="15.95" customHeight="1">
      <c r="B77" s="262"/>
      <c r="C77" s="262"/>
      <c r="D77" s="262"/>
      <c r="E77" s="873"/>
    </row>
    <row r="78" spans="2:5" ht="15.95" customHeight="1">
      <c r="B78" s="262"/>
      <c r="C78" s="262"/>
      <c r="D78" s="262"/>
      <c r="E78" s="873"/>
    </row>
    <row r="79" spans="2:5" ht="15.95" customHeight="1">
      <c r="B79" s="262"/>
      <c r="C79" s="262"/>
      <c r="D79" s="262"/>
      <c r="E79" s="873"/>
    </row>
    <row r="80" spans="2:5" ht="15.95" customHeight="1">
      <c r="B80" s="262"/>
      <c r="C80" s="262"/>
      <c r="D80" s="262"/>
      <c r="E80" s="873"/>
    </row>
    <row r="81" spans="2:5" ht="15.95" customHeight="1">
      <c r="B81" s="262"/>
      <c r="C81" s="262"/>
      <c r="D81" s="262"/>
      <c r="E81" s="873"/>
    </row>
    <row r="82" spans="2:5" ht="15.95" customHeight="1">
      <c r="B82" s="262"/>
      <c r="C82" s="262"/>
      <c r="D82" s="262"/>
      <c r="E82" s="873"/>
    </row>
    <row r="83" spans="2:5" ht="15.95" customHeight="1">
      <c r="B83" s="262"/>
      <c r="C83" s="262"/>
      <c r="D83" s="262"/>
      <c r="E83" s="873"/>
    </row>
    <row r="84" spans="2:5" ht="15.95" customHeight="1">
      <c r="B84" s="262"/>
      <c r="C84" s="262"/>
      <c r="D84" s="262"/>
      <c r="E84" s="873"/>
    </row>
    <row r="85" spans="2:5" ht="15.95" customHeight="1">
      <c r="B85" s="262"/>
      <c r="C85" s="262"/>
      <c r="D85" s="262"/>
      <c r="E85" s="873"/>
    </row>
    <row r="86" spans="2:5" ht="15.95" customHeight="1">
      <c r="B86" s="262"/>
      <c r="C86" s="262"/>
      <c r="D86" s="262"/>
      <c r="E86" s="873"/>
    </row>
    <row r="87" spans="2:5" ht="15.95" customHeight="1">
      <c r="B87" s="262"/>
      <c r="C87" s="262"/>
      <c r="D87" s="262"/>
      <c r="E87" s="873"/>
    </row>
    <row r="88" spans="2:5" ht="15.95" customHeight="1">
      <c r="B88" s="262"/>
      <c r="C88" s="262"/>
      <c r="D88" s="262"/>
      <c r="E88" s="873"/>
    </row>
    <row r="89" spans="2:5" ht="15.95" customHeight="1">
      <c r="B89" s="262"/>
      <c r="C89" s="262"/>
      <c r="D89" s="262"/>
      <c r="E89" s="873"/>
    </row>
    <row r="90" spans="2:5" ht="15.95" customHeight="1">
      <c r="B90" s="262"/>
      <c r="C90" s="262"/>
      <c r="D90" s="262"/>
      <c r="E90" s="873"/>
    </row>
    <row r="91" spans="2:5" ht="15.95" customHeight="1">
      <c r="B91" s="262"/>
      <c r="C91" s="262"/>
      <c r="D91" s="262"/>
      <c r="E91" s="873"/>
    </row>
    <row r="92" spans="2:5" ht="15.95" customHeight="1">
      <c r="B92" s="262"/>
      <c r="C92" s="262"/>
      <c r="D92" s="262"/>
      <c r="E92" s="873"/>
    </row>
    <row r="93" spans="2:5" ht="15.95" customHeight="1">
      <c r="B93" s="262"/>
      <c r="C93" s="262"/>
      <c r="D93" s="262"/>
      <c r="E93" s="873"/>
    </row>
    <row r="94" spans="2:5" ht="15.95" customHeight="1">
      <c r="B94" s="262"/>
      <c r="C94" s="262"/>
      <c r="D94" s="262"/>
      <c r="E94" s="873"/>
    </row>
    <row r="95" spans="2:5" ht="15.95" customHeight="1">
      <c r="B95" s="262"/>
      <c r="C95" s="262"/>
      <c r="D95" s="262"/>
      <c r="E95" s="873"/>
    </row>
    <row r="96" spans="2:5" ht="15.95" customHeight="1">
      <c r="B96" s="262"/>
      <c r="C96" s="262"/>
      <c r="D96" s="262"/>
      <c r="E96" s="873"/>
    </row>
    <row r="97" spans="2:5" ht="15.95" customHeight="1">
      <c r="B97" s="262"/>
      <c r="C97" s="262"/>
      <c r="D97" s="262"/>
      <c r="E97" s="873"/>
    </row>
    <row r="98" spans="2:5" ht="15.95" customHeight="1">
      <c r="B98" s="262"/>
      <c r="C98" s="262"/>
      <c r="D98" s="262"/>
      <c r="E98" s="873"/>
    </row>
    <row r="99" spans="2:5" ht="15.95" customHeight="1">
      <c r="B99" s="262"/>
      <c r="C99" s="262"/>
      <c r="D99" s="262"/>
      <c r="E99" s="873"/>
    </row>
    <row r="100" spans="2:5" ht="15.95" customHeight="1">
      <c r="B100" s="262"/>
      <c r="C100" s="262"/>
      <c r="D100" s="262"/>
      <c r="E100" s="873"/>
    </row>
  </sheetData>
  <sheetProtection algorithmName="SHA-512" hashValue="noh9wOpWxFnsUlRwdkq0W8Ru4DaHGhRKDB6hmbYujo+znZiQ4xIpXmG8o5OLN2e02SPVgODvmjVbcmWq2oixgA==" saltValue="Ui6iT6BGVCF4ZA4C3/oVYw==" spinCount="100000" sheet="1" objects="1" scenarios="1" autoFilter="0"/>
  <hyperlinks>
    <hyperlink ref="B2" location="RCE_Summary" display="RCE Summary" xr:uid="{02351581-2B20-4B59-A280-BEF3192E3DF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7">
    <tabColor theme="7" tint="-0.249977111117893"/>
  </sheetPr>
  <dimension ref="B1:E368"/>
  <sheetViews>
    <sheetView showGridLines="0" zoomScaleNormal="100" workbookViewId="0">
      <pane ySplit="3" topLeftCell="A208" activePane="bottomLeft" state="frozen"/>
      <selection pane="bottomLeft" activeCell="B215" sqref="B215"/>
    </sheetView>
  </sheetViews>
  <sheetFormatPr defaultColWidth="9" defaultRowHeight="12.75"/>
  <cols>
    <col min="1" max="1" width="3.42578125" style="808" customWidth="1"/>
    <col min="2" max="2" width="62.140625" style="808" customWidth="1"/>
    <col min="3" max="4" width="9.7109375" style="307" customWidth="1"/>
    <col min="5" max="16384" width="9" style="808"/>
  </cols>
  <sheetData>
    <row r="1" spans="2:3">
      <c r="B1" s="874" t="s">
        <v>3481</v>
      </c>
    </row>
    <row r="2" spans="2:3" ht="15" customHeight="1">
      <c r="B2" s="737" t="str">
        <f>Name_main</f>
        <v>Rehabilitation Cost Estimate Tool - Mining New South Wales</v>
      </c>
      <c r="C2" s="808"/>
    </row>
    <row r="3" spans="2:3" ht="18" customHeight="1">
      <c r="B3" s="875" t="s">
        <v>106</v>
      </c>
    </row>
    <row r="4" spans="2:3">
      <c r="B4" s="876"/>
    </row>
    <row r="5" spans="2:3">
      <c r="B5" s="877" t="s">
        <v>123</v>
      </c>
    </row>
    <row r="6" spans="2:3">
      <c r="B6" s="877" t="s">
        <v>126</v>
      </c>
    </row>
    <row r="7" spans="2:3">
      <c r="B7" s="877" t="s">
        <v>132</v>
      </c>
    </row>
    <row r="8" spans="2:3">
      <c r="B8" s="877" t="s">
        <v>2924</v>
      </c>
    </row>
    <row r="10" spans="2:3">
      <c r="B10" s="878" t="s">
        <v>3482</v>
      </c>
    </row>
    <row r="11" spans="2:3">
      <c r="B11" s="877" t="s">
        <v>1489</v>
      </c>
    </row>
    <row r="12" spans="2:3">
      <c r="B12" s="877" t="s">
        <v>656</v>
      </c>
    </row>
    <row r="13" spans="2:3">
      <c r="B13" s="877" t="s">
        <v>549</v>
      </c>
    </row>
    <row r="14" spans="2:3">
      <c r="B14" s="1"/>
    </row>
    <row r="15" spans="2:3">
      <c r="B15" s="878" t="s">
        <v>656</v>
      </c>
      <c r="C15" s="879"/>
    </row>
    <row r="16" spans="2:3">
      <c r="B16" s="877" t="s">
        <v>2783</v>
      </c>
      <c r="C16" s="879"/>
    </row>
    <row r="17" spans="2:3">
      <c r="B17" s="877" t="s">
        <v>312</v>
      </c>
      <c r="C17" s="879"/>
    </row>
    <row r="18" spans="2:3">
      <c r="B18" s="877" t="s">
        <v>313</v>
      </c>
      <c r="C18" s="879"/>
    </row>
    <row r="19" spans="2:3">
      <c r="B19" s="877" t="s">
        <v>314</v>
      </c>
      <c r="C19" s="879"/>
    </row>
    <row r="20" spans="2:3">
      <c r="B20" s="877" t="s">
        <v>315</v>
      </c>
      <c r="C20" s="879"/>
    </row>
    <row r="21" spans="2:3">
      <c r="B21" s="877" t="s">
        <v>316</v>
      </c>
      <c r="C21" s="879"/>
    </row>
    <row r="22" spans="2:3">
      <c r="B22" s="877" t="s">
        <v>317</v>
      </c>
      <c r="C22" s="879"/>
    </row>
    <row r="23" spans="2:3">
      <c r="B23" s="877" t="s">
        <v>318</v>
      </c>
      <c r="C23" s="879"/>
    </row>
    <row r="24" spans="2:3">
      <c r="B24" s="877" t="s">
        <v>319</v>
      </c>
      <c r="C24" s="879"/>
    </row>
    <row r="25" spans="2:3">
      <c r="C25" s="879"/>
    </row>
    <row r="26" spans="2:3">
      <c r="B26" s="878" t="s">
        <v>3483</v>
      </c>
    </row>
    <row r="27" spans="2:3">
      <c r="B27" s="877" t="s">
        <v>3484</v>
      </c>
    </row>
    <row r="28" spans="2:3">
      <c r="B28" s="877" t="s">
        <v>3485</v>
      </c>
    </row>
    <row r="29" spans="2:3">
      <c r="B29" s="877" t="s">
        <v>3486</v>
      </c>
      <c r="C29" s="3"/>
    </row>
    <row r="30" spans="2:3">
      <c r="B30" s="877" t="s">
        <v>192</v>
      </c>
      <c r="C30" s="3"/>
    </row>
    <row r="31" spans="2:3">
      <c r="B31" s="1"/>
      <c r="C31" s="3"/>
    </row>
    <row r="32" spans="2:3">
      <c r="B32" s="880" t="s">
        <v>1232</v>
      </c>
    </row>
    <row r="33" spans="2:2">
      <c r="B33" s="877" t="s">
        <v>18</v>
      </c>
    </row>
    <row r="34" spans="2:2">
      <c r="B34" s="877" t="s">
        <v>27</v>
      </c>
    </row>
    <row r="35" spans="2:2">
      <c r="B35" s="877" t="s">
        <v>3487</v>
      </c>
    </row>
    <row r="36" spans="2:2">
      <c r="B36" s="877" t="s">
        <v>3488</v>
      </c>
    </row>
    <row r="37" spans="2:2">
      <c r="B37" s="877" t="s">
        <v>3489</v>
      </c>
    </row>
    <row r="38" spans="2:2">
      <c r="B38" s="877" t="s">
        <v>3490</v>
      </c>
    </row>
    <row r="39" spans="2:2">
      <c r="B39" s="877" t="s">
        <v>3491</v>
      </c>
    </row>
    <row r="40" spans="2:2">
      <c r="B40" s="877" t="s">
        <v>3492</v>
      </c>
    </row>
    <row r="41" spans="2:2">
      <c r="B41" s="877" t="s">
        <v>462</v>
      </c>
    </row>
    <row r="42" spans="2:2">
      <c r="B42" s="877" t="s">
        <v>3493</v>
      </c>
    </row>
    <row r="44" spans="2:2">
      <c r="B44" s="880" t="s">
        <v>3494</v>
      </c>
    </row>
    <row r="45" spans="2:2">
      <c r="B45" s="877" t="s">
        <v>3495</v>
      </c>
    </row>
    <row r="46" spans="2:2">
      <c r="B46" s="877" t="s">
        <v>3496</v>
      </c>
    </row>
    <row r="47" spans="2:2">
      <c r="B47" s="877" t="s">
        <v>3497</v>
      </c>
    </row>
    <row r="48" spans="2:2">
      <c r="B48" s="877" t="s">
        <v>3498</v>
      </c>
    </row>
    <row r="49" spans="2:2">
      <c r="B49" s="877" t="s">
        <v>3499</v>
      </c>
    </row>
    <row r="50" spans="2:2">
      <c r="B50" s="877" t="s">
        <v>3500</v>
      </c>
    </row>
    <row r="51" spans="2:2">
      <c r="B51" s="877" t="s">
        <v>3501</v>
      </c>
    </row>
    <row r="52" spans="2:2">
      <c r="B52" s="877" t="s">
        <v>3502</v>
      </c>
    </row>
    <row r="53" spans="2:2">
      <c r="B53" s="877" t="s">
        <v>3503</v>
      </c>
    </row>
    <row r="54" spans="2:2">
      <c r="B54" s="877" t="s">
        <v>3504</v>
      </c>
    </row>
    <row r="55" spans="2:2">
      <c r="B55" s="877" t="s">
        <v>3505</v>
      </c>
    </row>
    <row r="56" spans="2:2">
      <c r="B56" s="877" t="s">
        <v>3506</v>
      </c>
    </row>
    <row r="57" spans="2:2">
      <c r="B57" s="877" t="s">
        <v>3507</v>
      </c>
    </row>
    <row r="58" spans="2:2">
      <c r="B58" s="1"/>
    </row>
    <row r="59" spans="2:2">
      <c r="B59" s="878" t="s">
        <v>2266</v>
      </c>
    </row>
    <row r="60" spans="2:2">
      <c r="B60" s="877" t="s">
        <v>3508</v>
      </c>
    </row>
    <row r="61" spans="2:2">
      <c r="B61" s="1"/>
    </row>
    <row r="62" spans="2:2">
      <c r="B62" s="878" t="s">
        <v>3509</v>
      </c>
    </row>
    <row r="63" spans="2:2">
      <c r="B63" s="877" t="s">
        <v>791</v>
      </c>
    </row>
    <row r="64" spans="2:2">
      <c r="B64" s="877" t="s">
        <v>790</v>
      </c>
    </row>
    <row r="65" spans="2:5">
      <c r="B65" s="1"/>
    </row>
    <row r="66" spans="2:5">
      <c r="B66" s="878" t="s">
        <v>3510</v>
      </c>
      <c r="C66" s="881"/>
    </row>
    <row r="67" spans="2:5">
      <c r="B67" s="877" t="s">
        <v>1014</v>
      </c>
      <c r="C67" s="881"/>
    </row>
    <row r="68" spans="2:5">
      <c r="B68" s="877" t="s">
        <v>1016</v>
      </c>
      <c r="C68" s="881"/>
    </row>
    <row r="69" spans="2:5">
      <c r="B69" s="877" t="s">
        <v>754</v>
      </c>
      <c r="C69" s="881"/>
      <c r="D69" s="881"/>
      <c r="E69" s="882"/>
    </row>
    <row r="70" spans="2:5">
      <c r="B70" s="877" t="s">
        <v>862</v>
      </c>
      <c r="C70" s="881"/>
      <c r="D70" s="881"/>
      <c r="E70" s="882"/>
    </row>
    <row r="71" spans="2:5">
      <c r="B71" s="877" t="s">
        <v>24</v>
      </c>
      <c r="C71" s="881"/>
      <c r="D71" s="881"/>
      <c r="E71" s="882"/>
    </row>
    <row r="72" spans="2:5">
      <c r="B72" s="877" t="s">
        <v>753</v>
      </c>
      <c r="C72" s="881"/>
      <c r="D72" s="881"/>
      <c r="E72" s="882"/>
    </row>
    <row r="73" spans="2:5">
      <c r="B73" s="877" t="s">
        <v>861</v>
      </c>
      <c r="C73" s="881"/>
      <c r="D73" s="881"/>
      <c r="E73" s="882"/>
    </row>
    <row r="74" spans="2:5">
      <c r="B74" s="1"/>
      <c r="C74" s="881"/>
      <c r="D74" s="881"/>
      <c r="E74" s="882"/>
    </row>
    <row r="75" spans="2:5">
      <c r="B75" s="880" t="s">
        <v>3511</v>
      </c>
    </row>
    <row r="76" spans="2:5">
      <c r="B76" s="877" t="s">
        <v>3512</v>
      </c>
    </row>
    <row r="77" spans="2:5">
      <c r="B77" s="877" t="s">
        <v>3513</v>
      </c>
    </row>
    <row r="79" spans="2:5">
      <c r="B79" s="880" t="s">
        <v>3514</v>
      </c>
    </row>
    <row r="80" spans="2:5">
      <c r="B80" s="877" t="s">
        <v>3515</v>
      </c>
    </row>
    <row r="81" spans="2:2">
      <c r="B81" s="877" t="s">
        <v>3516</v>
      </c>
    </row>
    <row r="82" spans="2:2">
      <c r="B82" s="877" t="s">
        <v>3517</v>
      </c>
    </row>
    <row r="83" spans="2:2">
      <c r="B83" s="877" t="s">
        <v>2783</v>
      </c>
    </row>
    <row r="84" spans="2:2">
      <c r="B84" s="1"/>
    </row>
    <row r="85" spans="2:2">
      <c r="B85" s="880" t="s">
        <v>719</v>
      </c>
    </row>
    <row r="86" spans="2:2">
      <c r="B86" s="877" t="s">
        <v>720</v>
      </c>
    </row>
    <row r="87" spans="2:2">
      <c r="B87" s="877" t="s">
        <v>721</v>
      </c>
    </row>
    <row r="88" spans="2:2">
      <c r="B88" s="877" t="s">
        <v>1351</v>
      </c>
    </row>
    <row r="89" spans="2:2">
      <c r="B89" s="877" t="s">
        <v>723</v>
      </c>
    </row>
    <row r="90" spans="2:2">
      <c r="B90" s="877" t="s">
        <v>1355</v>
      </c>
    </row>
    <row r="91" spans="2:2">
      <c r="B91" s="1"/>
    </row>
    <row r="92" spans="2:2">
      <c r="B92" s="880" t="s">
        <v>2621</v>
      </c>
    </row>
    <row r="93" spans="2:2">
      <c r="B93" s="877" t="s">
        <v>3518</v>
      </c>
    </row>
    <row r="94" spans="2:2">
      <c r="B94" s="1"/>
    </row>
    <row r="95" spans="2:2">
      <c r="B95" s="880" t="s">
        <v>3519</v>
      </c>
    </row>
    <row r="96" spans="2:2">
      <c r="B96" s="877" t="s">
        <v>3520</v>
      </c>
    </row>
    <row r="97" spans="2:2">
      <c r="B97" s="877" t="s">
        <v>945</v>
      </c>
    </row>
    <row r="98" spans="2:2">
      <c r="B98" s="877" t="s">
        <v>3521</v>
      </c>
    </row>
    <row r="99" spans="2:2">
      <c r="B99" s="877" t="s">
        <v>3522</v>
      </c>
    </row>
    <row r="101" spans="2:2">
      <c r="B101" s="880" t="s">
        <v>3523</v>
      </c>
    </row>
    <row r="102" spans="2:2">
      <c r="B102" s="877" t="s">
        <v>3524</v>
      </c>
    </row>
    <row r="103" spans="2:2">
      <c r="B103" s="877" t="s">
        <v>3525</v>
      </c>
    </row>
    <row r="104" spans="2:2">
      <c r="B104" s="877" t="s">
        <v>3526</v>
      </c>
    </row>
    <row r="105" spans="2:2">
      <c r="B105" s="877" t="s">
        <v>3527</v>
      </c>
    </row>
    <row r="106" spans="2:2">
      <c r="B106" s="877" t="s">
        <v>3528</v>
      </c>
    </row>
    <row r="107" spans="2:2">
      <c r="B107" s="877" t="s">
        <v>3529</v>
      </c>
    </row>
    <row r="108" spans="2:2">
      <c r="B108" s="877" t="s">
        <v>3530</v>
      </c>
    </row>
    <row r="109" spans="2:2">
      <c r="B109" s="877" t="s">
        <v>3531</v>
      </c>
    </row>
    <row r="110" spans="2:2">
      <c r="B110" s="877" t="s">
        <v>3532</v>
      </c>
    </row>
    <row r="112" spans="2:2">
      <c r="B112" s="878" t="s">
        <v>3533</v>
      </c>
    </row>
    <row r="113" spans="2:5">
      <c r="B113" s="877" t="s">
        <v>3534</v>
      </c>
    </row>
    <row r="114" spans="2:5">
      <c r="B114" s="877" t="s">
        <v>3535</v>
      </c>
    </row>
    <row r="115" spans="2:5">
      <c r="B115" s="877" t="s">
        <v>3536</v>
      </c>
    </row>
    <row r="116" spans="2:5">
      <c r="B116" s="877" t="s">
        <v>3537</v>
      </c>
    </row>
    <row r="118" spans="2:5">
      <c r="B118" s="878" t="s">
        <v>3538</v>
      </c>
      <c r="C118" s="3"/>
    </row>
    <row r="119" spans="2:5">
      <c r="B119" s="877" t="s">
        <v>442</v>
      </c>
      <c r="C119" s="883" t="s">
        <v>411</v>
      </c>
    </row>
    <row r="120" spans="2:5">
      <c r="B120" s="877" t="s">
        <v>214</v>
      </c>
      <c r="C120" s="883" t="s">
        <v>299</v>
      </c>
    </row>
    <row r="121" spans="2:5">
      <c r="B121" s="1"/>
      <c r="C121" s="3"/>
    </row>
    <row r="122" spans="2:5">
      <c r="B122" s="878" t="s">
        <v>3539</v>
      </c>
      <c r="C122" s="881"/>
      <c r="D122" s="881"/>
      <c r="E122" s="882"/>
    </row>
    <row r="123" spans="2:5">
      <c r="B123" s="877" t="s">
        <v>2494</v>
      </c>
      <c r="C123" s="877">
        <v>20</v>
      </c>
      <c r="D123" s="881"/>
      <c r="E123" s="882"/>
    </row>
    <row r="124" spans="2:5">
      <c r="B124" s="877" t="s">
        <v>2495</v>
      </c>
      <c r="C124" s="877">
        <v>50</v>
      </c>
      <c r="D124" s="881"/>
      <c r="E124" s="882"/>
    </row>
    <row r="125" spans="2:5">
      <c r="B125" s="877" t="s">
        <v>2496</v>
      </c>
      <c r="C125" s="877">
        <v>75</v>
      </c>
      <c r="D125" s="881"/>
      <c r="E125" s="882"/>
    </row>
    <row r="126" spans="2:5">
      <c r="B126" s="877" t="s">
        <v>2497</v>
      </c>
      <c r="C126" s="877">
        <v>100</v>
      </c>
      <c r="D126" s="881"/>
      <c r="E126" s="882"/>
    </row>
    <row r="127" spans="2:5">
      <c r="B127" s="877" t="s">
        <v>2498</v>
      </c>
      <c r="C127" s="877">
        <v>125</v>
      </c>
      <c r="D127" s="881"/>
      <c r="E127" s="882"/>
    </row>
    <row r="128" spans="2:5">
      <c r="B128" s="877" t="s">
        <v>2499</v>
      </c>
      <c r="C128" s="877">
        <v>150</v>
      </c>
      <c r="D128" s="881"/>
      <c r="E128" s="882"/>
    </row>
    <row r="129" spans="2:5">
      <c r="B129" s="877" t="s">
        <v>2500</v>
      </c>
      <c r="C129" s="877">
        <v>200</v>
      </c>
      <c r="D129" s="881"/>
      <c r="E129" s="882"/>
    </row>
    <row r="130" spans="2:5">
      <c r="B130" s="877" t="s">
        <v>2501</v>
      </c>
      <c r="C130" s="877">
        <v>250</v>
      </c>
      <c r="D130" s="881"/>
      <c r="E130" s="882"/>
    </row>
    <row r="131" spans="2:5">
      <c r="B131" s="877" t="s">
        <v>2502</v>
      </c>
      <c r="C131" s="877">
        <v>300</v>
      </c>
      <c r="D131" s="881"/>
      <c r="E131" s="882"/>
    </row>
    <row r="132" spans="2:5">
      <c r="B132" s="877" t="s">
        <v>2503</v>
      </c>
      <c r="C132" s="877">
        <v>350</v>
      </c>
    </row>
    <row r="133" spans="2:5">
      <c r="B133" s="877" t="s">
        <v>2504</v>
      </c>
      <c r="C133" s="877">
        <v>400</v>
      </c>
    </row>
    <row r="134" spans="2:5">
      <c r="B134" s="877" t="s">
        <v>2505</v>
      </c>
      <c r="C134" s="877">
        <v>450</v>
      </c>
    </row>
    <row r="135" spans="2:5">
      <c r="B135" s="877" t="s">
        <v>2506</v>
      </c>
      <c r="C135" s="877">
        <v>500</v>
      </c>
    </row>
    <row r="136" spans="2:5">
      <c r="B136" s="877" t="s">
        <v>2507</v>
      </c>
      <c r="C136" s="877">
        <v>550</v>
      </c>
    </row>
    <row r="137" spans="2:5">
      <c r="B137" s="1"/>
      <c r="C137" s="1"/>
    </row>
    <row r="138" spans="2:5">
      <c r="B138" s="878" t="s">
        <v>3540</v>
      </c>
      <c r="C138" s="879"/>
    </row>
    <row r="139" spans="2:5">
      <c r="B139" s="877" t="s">
        <v>1123</v>
      </c>
    </row>
    <row r="140" spans="2:5">
      <c r="B140" s="877" t="s">
        <v>636</v>
      </c>
    </row>
    <row r="141" spans="2:5">
      <c r="B141" s="877" t="s">
        <v>3541</v>
      </c>
    </row>
    <row r="142" spans="2:5">
      <c r="B142" s="1"/>
    </row>
    <row r="143" spans="2:5">
      <c r="B143" s="878" t="s">
        <v>15</v>
      </c>
      <c r="C143" s="881"/>
    </row>
    <row r="144" spans="2:5">
      <c r="B144" s="877" t="s">
        <v>18</v>
      </c>
      <c r="C144" s="881"/>
    </row>
    <row r="145" spans="2:3">
      <c r="B145" s="877" t="s">
        <v>24</v>
      </c>
      <c r="C145" s="881"/>
    </row>
    <row r="146" spans="2:3">
      <c r="B146" s="877" t="s">
        <v>27</v>
      </c>
      <c r="C146" s="881"/>
    </row>
    <row r="147" spans="2:3">
      <c r="B147" s="877" t="s">
        <v>3542</v>
      </c>
      <c r="C147" s="881"/>
    </row>
    <row r="148" spans="2:3">
      <c r="B148" s="1"/>
      <c r="C148" s="881"/>
    </row>
    <row r="149" spans="2:3">
      <c r="B149" s="878" t="s">
        <v>419</v>
      </c>
      <c r="C149" s="879"/>
    </row>
    <row r="150" spans="2:3">
      <c r="B150" s="877" t="s">
        <v>1123</v>
      </c>
    </row>
    <row r="151" spans="2:3">
      <c r="B151" s="877" t="s">
        <v>791</v>
      </c>
    </row>
    <row r="152" spans="2:3">
      <c r="B152" s="877" t="s">
        <v>3543</v>
      </c>
    </row>
    <row r="153" spans="2:3">
      <c r="B153" s="877" t="s">
        <v>3544</v>
      </c>
    </row>
    <row r="154" spans="2:3">
      <c r="B154" s="877" t="s">
        <v>3545</v>
      </c>
    </row>
    <row r="155" spans="2:3">
      <c r="B155" s="1"/>
    </row>
    <row r="156" spans="2:3">
      <c r="B156" s="878" t="s">
        <v>576</v>
      </c>
      <c r="C156" s="1"/>
    </row>
    <row r="157" spans="2:3">
      <c r="B157" s="877" t="s">
        <v>3546</v>
      </c>
    </row>
    <row r="158" spans="2:3">
      <c r="B158" s="877" t="s">
        <v>3547</v>
      </c>
    </row>
    <row r="159" spans="2:3">
      <c r="B159" s="877" t="s">
        <v>3548</v>
      </c>
    </row>
    <row r="160" spans="2:3">
      <c r="B160" s="877" t="s">
        <v>3549</v>
      </c>
    </row>
    <row r="161" spans="2:3">
      <c r="B161" s="877" t="s">
        <v>3550</v>
      </c>
    </row>
    <row r="162" spans="2:3">
      <c r="B162" s="877" t="s">
        <v>3551</v>
      </c>
    </row>
    <row r="163" spans="2:3">
      <c r="B163" s="877" t="s">
        <v>3552</v>
      </c>
    </row>
    <row r="164" spans="2:3">
      <c r="B164" s="877" t="s">
        <v>3553</v>
      </c>
    </row>
    <row r="165" spans="2:3">
      <c r="B165" s="877" t="s">
        <v>3554</v>
      </c>
    </row>
    <row r="166" spans="2:3">
      <c r="B166" s="877" t="s">
        <v>3555</v>
      </c>
    </row>
    <row r="167" spans="2:3">
      <c r="B167" s="877" t="s">
        <v>3556</v>
      </c>
    </row>
    <row r="168" spans="2:3">
      <c r="B168" s="1"/>
    </row>
    <row r="169" spans="2:3">
      <c r="B169" s="878" t="s">
        <v>3557</v>
      </c>
    </row>
    <row r="170" spans="2:3">
      <c r="B170" s="877" t="s">
        <v>716</v>
      </c>
    </row>
    <row r="171" spans="2:3">
      <c r="B171" s="877" t="s">
        <v>717</v>
      </c>
    </row>
    <row r="172" spans="2:3">
      <c r="B172" s="877" t="s">
        <v>506</v>
      </c>
    </row>
    <row r="174" spans="2:3">
      <c r="B174" s="880" t="s">
        <v>3558</v>
      </c>
      <c r="C174" s="880" t="s">
        <v>2230</v>
      </c>
    </row>
    <row r="175" spans="2:3">
      <c r="B175" s="877" t="s">
        <v>544</v>
      </c>
      <c r="C175" s="884">
        <v>2.5</v>
      </c>
    </row>
    <row r="176" spans="2:3">
      <c r="B176" s="877" t="s">
        <v>1889</v>
      </c>
      <c r="C176" s="884">
        <v>7.5</v>
      </c>
    </row>
    <row r="177" spans="2:3">
      <c r="B177" s="877" t="s">
        <v>655</v>
      </c>
      <c r="C177" s="884">
        <v>12.5</v>
      </c>
    </row>
    <row r="178" spans="2:3">
      <c r="B178" s="877" t="s">
        <v>545</v>
      </c>
      <c r="C178" s="884">
        <v>17.5</v>
      </c>
    </row>
    <row r="179" spans="2:3">
      <c r="B179" s="877" t="s">
        <v>577</v>
      </c>
      <c r="C179" s="884">
        <v>22.5</v>
      </c>
    </row>
    <row r="180" spans="2:3">
      <c r="B180" s="877" t="s">
        <v>233</v>
      </c>
      <c r="C180" s="884">
        <v>27.5</v>
      </c>
    </row>
    <row r="181" spans="2:3">
      <c r="B181" s="877" t="s">
        <v>559</v>
      </c>
      <c r="C181" s="884">
        <v>32.5</v>
      </c>
    </row>
    <row r="182" spans="2:3">
      <c r="B182" s="877" t="s">
        <v>578</v>
      </c>
      <c r="C182" s="884">
        <v>37.5</v>
      </c>
    </row>
    <row r="183" spans="2:3">
      <c r="B183" s="877" t="s">
        <v>251</v>
      </c>
      <c r="C183" s="884">
        <v>42.5</v>
      </c>
    </row>
    <row r="184" spans="2:3">
      <c r="B184" s="877" t="s">
        <v>804</v>
      </c>
      <c r="C184" s="884">
        <v>47.5</v>
      </c>
    </row>
    <row r="185" spans="2:3">
      <c r="B185" s="877" t="s">
        <v>654</v>
      </c>
      <c r="C185" s="884">
        <v>55</v>
      </c>
    </row>
    <row r="186" spans="2:3">
      <c r="B186" s="877" t="s">
        <v>1890</v>
      </c>
      <c r="C186" s="884">
        <v>65</v>
      </c>
    </row>
    <row r="187" spans="2:3">
      <c r="B187" s="877" t="s">
        <v>1891</v>
      </c>
      <c r="C187" s="884">
        <v>75</v>
      </c>
    </row>
    <row r="188" spans="2:3">
      <c r="B188" s="877" t="s">
        <v>1892</v>
      </c>
      <c r="C188" s="884">
        <v>85</v>
      </c>
    </row>
    <row r="189" spans="2:3">
      <c r="B189" s="877" t="s">
        <v>1893</v>
      </c>
      <c r="C189" s="884">
        <v>95</v>
      </c>
    </row>
    <row r="190" spans="2:3">
      <c r="B190" s="877" t="s">
        <v>1894</v>
      </c>
      <c r="C190" s="884">
        <v>125</v>
      </c>
    </row>
    <row r="191" spans="2:3">
      <c r="B191" s="877" t="s">
        <v>1895</v>
      </c>
      <c r="C191" s="884">
        <v>175</v>
      </c>
    </row>
    <row r="192" spans="2:3">
      <c r="B192" s="877" t="s">
        <v>995</v>
      </c>
      <c r="C192" s="884">
        <v>225</v>
      </c>
    </row>
    <row r="193" spans="2:4">
      <c r="B193" s="877" t="s">
        <v>1896</v>
      </c>
      <c r="C193" s="884">
        <v>250</v>
      </c>
    </row>
    <row r="195" spans="2:4">
      <c r="B195" s="878" t="s">
        <v>3559</v>
      </c>
    </row>
    <row r="196" spans="2:4">
      <c r="B196" s="877" t="s">
        <v>3515</v>
      </c>
    </row>
    <row r="197" spans="2:4">
      <c r="B197" s="877" t="s">
        <v>3517</v>
      </c>
    </row>
    <row r="198" spans="2:4">
      <c r="B198" s="877" t="s">
        <v>3516</v>
      </c>
    </row>
    <row r="199" spans="2:4">
      <c r="B199" s="877"/>
    </row>
    <row r="200" spans="2:4">
      <c r="C200" s="808"/>
      <c r="D200" s="808"/>
    </row>
    <row r="201" spans="2:4">
      <c r="B201" s="880" t="s">
        <v>3560</v>
      </c>
    </row>
    <row r="202" spans="2:4">
      <c r="B202" s="877" t="s">
        <v>1184</v>
      </c>
    </row>
    <row r="203" spans="2:4">
      <c r="B203" s="877" t="s">
        <v>1185</v>
      </c>
    </row>
    <row r="204" spans="2:4">
      <c r="B204" s="877" t="s">
        <v>1186</v>
      </c>
    </row>
    <row r="205" spans="2:4">
      <c r="B205" s="877" t="s">
        <v>1187</v>
      </c>
    </row>
    <row r="206" spans="2:4">
      <c r="B206" s="877" t="s">
        <v>1933</v>
      </c>
    </row>
    <row r="207" spans="2:4">
      <c r="B207" s="877" t="s">
        <v>1934</v>
      </c>
    </row>
    <row r="208" spans="2:4">
      <c r="B208" s="877" t="s">
        <v>1935</v>
      </c>
    </row>
    <row r="209" spans="2:3">
      <c r="B209" s="877" t="s">
        <v>1936</v>
      </c>
    </row>
    <row r="210" spans="2:3">
      <c r="B210" s="877" t="s">
        <v>1937</v>
      </c>
    </row>
    <row r="211" spans="2:3">
      <c r="B211" s="877" t="s">
        <v>1938</v>
      </c>
    </row>
    <row r="212" spans="2:3">
      <c r="B212" s="877" t="s">
        <v>1939</v>
      </c>
    </row>
    <row r="213" spans="2:3">
      <c r="B213" s="877" t="s">
        <v>1940</v>
      </c>
    </row>
    <row r="214" spans="2:3">
      <c r="B214" s="877" t="s">
        <v>1941</v>
      </c>
    </row>
    <row r="215" spans="2:3">
      <c r="B215" s="877" t="s">
        <v>1942</v>
      </c>
    </row>
    <row r="216" spans="2:3">
      <c r="B216" s="877" t="s">
        <v>1943</v>
      </c>
    </row>
    <row r="217" spans="2:3">
      <c r="B217" s="877" t="s">
        <v>1944</v>
      </c>
    </row>
    <row r="218" spans="2:3">
      <c r="B218" s="1"/>
    </row>
    <row r="219" spans="2:3">
      <c r="B219" s="878" t="s">
        <v>3561</v>
      </c>
      <c r="C219" s="879"/>
    </row>
    <row r="220" spans="2:3">
      <c r="B220" s="877" t="s">
        <v>3562</v>
      </c>
      <c r="C220" s="879"/>
    </row>
    <row r="221" spans="2:3">
      <c r="B221" s="877" t="s">
        <v>3563</v>
      </c>
      <c r="C221" s="879"/>
    </row>
    <row r="222" spans="2:3">
      <c r="B222" s="877" t="s">
        <v>3564</v>
      </c>
      <c r="C222" s="879"/>
    </row>
    <row r="223" spans="2:3">
      <c r="B223" s="1"/>
      <c r="C223" s="879"/>
    </row>
    <row r="224" spans="2:3">
      <c r="B224" s="878" t="s">
        <v>499</v>
      </c>
    </row>
    <row r="225" spans="2:2">
      <c r="B225" s="877" t="s">
        <v>3565</v>
      </c>
    </row>
    <row r="226" spans="2:2">
      <c r="B226" s="877" t="s">
        <v>3566</v>
      </c>
    </row>
    <row r="227" spans="2:2">
      <c r="B227" s="877" t="s">
        <v>3567</v>
      </c>
    </row>
    <row r="229" spans="2:2">
      <c r="B229" s="880" t="s">
        <v>3568</v>
      </c>
    </row>
    <row r="230" spans="2:2">
      <c r="B230" s="877" t="s">
        <v>3569</v>
      </c>
    </row>
    <row r="231" spans="2:2">
      <c r="B231" s="877" t="s">
        <v>3570</v>
      </c>
    </row>
    <row r="233" spans="2:2">
      <c r="B233" s="880" t="s">
        <v>3571</v>
      </c>
    </row>
    <row r="234" spans="2:2">
      <c r="B234" s="877" t="s">
        <v>3572</v>
      </c>
    </row>
    <row r="235" spans="2:2">
      <c r="B235" s="877" t="s">
        <v>3515</v>
      </c>
    </row>
    <row r="237" spans="2:2">
      <c r="B237" s="880" t="s">
        <v>3573</v>
      </c>
    </row>
    <row r="238" spans="2:2">
      <c r="B238" s="877" t="s">
        <v>3574</v>
      </c>
    </row>
    <row r="239" spans="2:2">
      <c r="B239" s="877" t="s">
        <v>3575</v>
      </c>
    </row>
    <row r="240" spans="2:2">
      <c r="B240" s="877"/>
    </row>
    <row r="242" spans="2:3">
      <c r="B242" s="880" t="s">
        <v>3576</v>
      </c>
    </row>
    <row r="243" spans="2:3">
      <c r="B243" s="877" t="s">
        <v>1067</v>
      </c>
    </row>
    <row r="244" spans="2:3">
      <c r="B244" s="877" t="s">
        <v>1068</v>
      </c>
    </row>
    <row r="246" spans="2:3">
      <c r="B246" s="878" t="s">
        <v>1973</v>
      </c>
      <c r="C246" s="879"/>
    </row>
    <row r="247" spans="2:3">
      <c r="B247" s="877" t="s">
        <v>347</v>
      </c>
      <c r="C247" s="879"/>
    </row>
    <row r="248" spans="2:3">
      <c r="B248" s="877" t="s">
        <v>346</v>
      </c>
      <c r="C248" s="879"/>
    </row>
    <row r="249" spans="2:3">
      <c r="B249" s="877" t="s">
        <v>441</v>
      </c>
      <c r="C249" s="879"/>
    </row>
    <row r="250" spans="2:3">
      <c r="B250" s="877" t="s">
        <v>348</v>
      </c>
      <c r="C250" s="879"/>
    </row>
    <row r="251" spans="2:3">
      <c r="B251" s="877" t="s">
        <v>349</v>
      </c>
      <c r="C251" s="879"/>
    </row>
    <row r="252" spans="2:3">
      <c r="B252" s="877" t="s">
        <v>661</v>
      </c>
      <c r="C252" s="879"/>
    </row>
    <row r="253" spans="2:3">
      <c r="B253" s="877" t="s">
        <v>662</v>
      </c>
      <c r="C253" s="879"/>
    </row>
    <row r="254" spans="2:3">
      <c r="B254" s="877" t="s">
        <v>2410</v>
      </c>
      <c r="C254" s="885"/>
    </row>
    <row r="255" spans="2:3">
      <c r="B255" s="877" t="s">
        <v>2411</v>
      </c>
      <c r="C255" s="885"/>
    </row>
    <row r="256" spans="2:3">
      <c r="B256" s="877" t="s">
        <v>2412</v>
      </c>
      <c r="C256" s="885"/>
    </row>
    <row r="257" spans="2:3">
      <c r="B257" s="877" t="s">
        <v>2413</v>
      </c>
      <c r="C257" s="885"/>
    </row>
    <row r="258" spans="2:3">
      <c r="B258" s="877" t="s">
        <v>350</v>
      </c>
      <c r="C258" s="885"/>
    </row>
    <row r="259" spans="2:3">
      <c r="B259" s="877" t="s">
        <v>351</v>
      </c>
      <c r="C259" s="885"/>
    </row>
    <row r="260" spans="2:3">
      <c r="B260" s="1"/>
      <c r="C260" s="879"/>
    </row>
    <row r="261" spans="2:3">
      <c r="B261" s="878" t="s">
        <v>3577</v>
      </c>
    </row>
    <row r="262" spans="2:3">
      <c r="B262" s="877" t="s">
        <v>1043</v>
      </c>
    </row>
    <row r="263" spans="2:3">
      <c r="B263" s="877" t="s">
        <v>1044</v>
      </c>
    </row>
    <row r="264" spans="2:3">
      <c r="B264" s="1"/>
    </row>
    <row r="265" spans="2:3">
      <c r="B265" s="878" t="s">
        <v>3578</v>
      </c>
      <c r="C265" s="879"/>
    </row>
    <row r="266" spans="2:3">
      <c r="B266" s="877" t="s">
        <v>3579</v>
      </c>
      <c r="C266" s="879"/>
    </row>
    <row r="267" spans="2:3">
      <c r="B267" s="877" t="s">
        <v>3580</v>
      </c>
      <c r="C267" s="879"/>
    </row>
    <row r="268" spans="2:3">
      <c r="B268" s="877" t="s">
        <v>3581</v>
      </c>
      <c r="C268" s="879"/>
    </row>
    <row r="269" spans="2:3">
      <c r="B269" s="877" t="s">
        <v>3582</v>
      </c>
      <c r="C269" s="879"/>
    </row>
    <row r="271" spans="2:3">
      <c r="B271" s="878" t="s">
        <v>3583</v>
      </c>
    </row>
    <row r="272" spans="2:3">
      <c r="B272" s="877" t="s">
        <v>3584</v>
      </c>
    </row>
    <row r="273" spans="2:3">
      <c r="B273" s="877" t="s">
        <v>3585</v>
      </c>
    </row>
    <row r="274" spans="2:3">
      <c r="B274" s="877" t="s">
        <v>3586</v>
      </c>
    </row>
    <row r="275" spans="2:3">
      <c r="B275" s="877" t="s">
        <v>3587</v>
      </c>
    </row>
    <row r="276" spans="2:3">
      <c r="B276" s="877" t="s">
        <v>3588</v>
      </c>
    </row>
    <row r="277" spans="2:3">
      <c r="B277" s="877" t="s">
        <v>3589</v>
      </c>
    </row>
    <row r="278" spans="2:3">
      <c r="B278" s="877" t="s">
        <v>3590</v>
      </c>
    </row>
    <row r="280" spans="2:3">
      <c r="B280" s="878" t="s">
        <v>3591</v>
      </c>
      <c r="C280" s="1"/>
    </row>
    <row r="281" spans="2:3">
      <c r="B281" s="877" t="s">
        <v>3592</v>
      </c>
      <c r="C281" s="1"/>
    </row>
    <row r="282" spans="2:3">
      <c r="B282" s="877" t="s">
        <v>3593</v>
      </c>
      <c r="C282" s="1"/>
    </row>
    <row r="283" spans="2:3">
      <c r="B283" s="877" t="s">
        <v>3594</v>
      </c>
      <c r="C283" s="1"/>
    </row>
    <row r="284" spans="2:3">
      <c r="B284" s="877" t="s">
        <v>3595</v>
      </c>
      <c r="C284" s="1"/>
    </row>
    <row r="285" spans="2:3">
      <c r="B285" s="877" t="s">
        <v>3596</v>
      </c>
      <c r="C285" s="1"/>
    </row>
    <row r="286" spans="2:3">
      <c r="B286" s="877" t="s">
        <v>3597</v>
      </c>
      <c r="C286" s="1"/>
    </row>
    <row r="287" spans="2:3">
      <c r="B287" s="877" t="s">
        <v>3598</v>
      </c>
      <c r="C287" s="1"/>
    </row>
    <row r="288" spans="2:3">
      <c r="C288" s="1"/>
    </row>
    <row r="289" spans="2:2">
      <c r="B289" s="878" t="s">
        <v>492</v>
      </c>
    </row>
    <row r="290" spans="2:2">
      <c r="B290" s="877" t="s">
        <v>18</v>
      </c>
    </row>
    <row r="291" spans="2:2">
      <c r="B291" s="877" t="s">
        <v>24</v>
      </c>
    </row>
    <row r="292" spans="2:2">
      <c r="B292" s="877" t="s">
        <v>27</v>
      </c>
    </row>
    <row r="294" spans="2:2">
      <c r="B294" s="878" t="s">
        <v>3599</v>
      </c>
    </row>
    <row r="295" spans="2:2">
      <c r="B295" s="877" t="s">
        <v>610</v>
      </c>
    </row>
    <row r="296" spans="2:2">
      <c r="B296" s="877" t="s">
        <v>611</v>
      </c>
    </row>
    <row r="297" spans="2:2">
      <c r="B297" s="877" t="s">
        <v>609</v>
      </c>
    </row>
    <row r="298" spans="2:2">
      <c r="B298" s="877" t="s">
        <v>633</v>
      </c>
    </row>
    <row r="300" spans="2:2">
      <c r="B300" s="878" t="s">
        <v>3600</v>
      </c>
    </row>
    <row r="301" spans="2:2">
      <c r="B301" s="877" t="s">
        <v>3601</v>
      </c>
    </row>
    <row r="302" spans="2:2">
      <c r="B302" s="877" t="s">
        <v>3602</v>
      </c>
    </row>
    <row r="303" spans="2:2">
      <c r="B303" s="877" t="s">
        <v>3603</v>
      </c>
    </row>
    <row r="304" spans="2:2">
      <c r="B304" s="877" t="s">
        <v>3604</v>
      </c>
    </row>
    <row r="305" spans="2:2">
      <c r="B305" s="877" t="s">
        <v>3605</v>
      </c>
    </row>
    <row r="306" spans="2:2">
      <c r="B306" s="877" t="s">
        <v>3606</v>
      </c>
    </row>
    <row r="307" spans="2:2">
      <c r="B307" s="877" t="s">
        <v>2842</v>
      </c>
    </row>
    <row r="308" spans="2:2">
      <c r="B308" s="877" t="s">
        <v>3607</v>
      </c>
    </row>
    <row r="309" spans="2:2">
      <c r="B309" s="877" t="s">
        <v>3608</v>
      </c>
    </row>
    <row r="310" spans="2:2">
      <c r="B310" s="877" t="s">
        <v>3609</v>
      </c>
    </row>
    <row r="311" spans="2:2">
      <c r="B311" s="877" t="s">
        <v>3610</v>
      </c>
    </row>
    <row r="313" spans="2:2">
      <c r="B313" s="880" t="s">
        <v>3611</v>
      </c>
    </row>
    <row r="314" spans="2:2">
      <c r="B314" s="877" t="s">
        <v>3612</v>
      </c>
    </row>
    <row r="315" spans="2:2">
      <c r="B315" s="877" t="s">
        <v>3613</v>
      </c>
    </row>
    <row r="316" spans="2:2">
      <c r="B316" s="877" t="s">
        <v>3614</v>
      </c>
    </row>
    <row r="318" spans="2:2">
      <c r="B318" s="880" t="s">
        <v>3615</v>
      </c>
    </row>
    <row r="319" spans="2:2">
      <c r="B319" s="877" t="s">
        <v>3616</v>
      </c>
    </row>
    <row r="320" spans="2:2">
      <c r="B320" s="877" t="s">
        <v>3617</v>
      </c>
    </row>
    <row r="321" spans="2:2">
      <c r="B321" s="877" t="s">
        <v>3618</v>
      </c>
    </row>
    <row r="322" spans="2:2">
      <c r="B322" s="1"/>
    </row>
    <row r="323" spans="2:2">
      <c r="B323" s="880" t="s">
        <v>3619</v>
      </c>
    </row>
    <row r="324" spans="2:2">
      <c r="B324" s="877" t="s">
        <v>3620</v>
      </c>
    </row>
    <row r="325" spans="2:2">
      <c r="B325" s="877" t="s">
        <v>3621</v>
      </c>
    </row>
    <row r="326" spans="2:2">
      <c r="B326" s="877" t="s">
        <v>3622</v>
      </c>
    </row>
    <row r="327" spans="2:2">
      <c r="B327" s="877" t="s">
        <v>3623</v>
      </c>
    </row>
    <row r="328" spans="2:2">
      <c r="B328" s="877" t="s">
        <v>3624</v>
      </c>
    </row>
    <row r="329" spans="2:2">
      <c r="B329" s="877" t="s">
        <v>3569</v>
      </c>
    </row>
    <row r="330" spans="2:2">
      <c r="B330" s="886"/>
    </row>
    <row r="331" spans="2:2">
      <c r="B331" s="880" t="s">
        <v>3625</v>
      </c>
    </row>
    <row r="332" spans="2:2">
      <c r="B332" s="877" t="s">
        <v>947</v>
      </c>
    </row>
    <row r="333" spans="2:2">
      <c r="B333" s="877" t="s">
        <v>3626</v>
      </c>
    </row>
    <row r="334" spans="2:2">
      <c r="B334" s="886"/>
    </row>
    <row r="335" spans="2:2">
      <c r="B335" s="880" t="s">
        <v>3627</v>
      </c>
    </row>
    <row r="336" spans="2:2">
      <c r="B336" s="877" t="s">
        <v>3628</v>
      </c>
    </row>
    <row r="337" spans="2:3">
      <c r="B337" s="877" t="s">
        <v>3629</v>
      </c>
    </row>
    <row r="338" spans="2:3">
      <c r="B338" s="886"/>
    </row>
    <row r="339" spans="2:3">
      <c r="B339" s="878" t="s">
        <v>345</v>
      </c>
    </row>
    <row r="340" spans="2:3">
      <c r="B340" s="877" t="s">
        <v>3630</v>
      </c>
    </row>
    <row r="341" spans="2:3">
      <c r="B341" s="877" t="s">
        <v>430</v>
      </c>
    </row>
    <row r="342" spans="2:3">
      <c r="B342" s="877" t="s">
        <v>429</v>
      </c>
    </row>
    <row r="343" spans="2:3">
      <c r="B343" s="877" t="s">
        <v>441</v>
      </c>
    </row>
    <row r="344" spans="2:3">
      <c r="B344" s="877" t="s">
        <v>3631</v>
      </c>
    </row>
    <row r="345" spans="2:3">
      <c r="B345" s="877" t="s">
        <v>3632</v>
      </c>
    </row>
    <row r="346" spans="2:3">
      <c r="B346" s="877" t="s">
        <v>3633</v>
      </c>
    </row>
    <row r="348" spans="2:3">
      <c r="B348" s="878" t="s">
        <v>744</v>
      </c>
      <c r="C348" s="878" t="s">
        <v>3634</v>
      </c>
    </row>
    <row r="349" spans="2:3">
      <c r="B349" s="877" t="s">
        <v>745</v>
      </c>
      <c r="C349" s="877" t="s">
        <v>2459</v>
      </c>
    </row>
    <row r="350" spans="2:3">
      <c r="B350" s="877" t="s">
        <v>746</v>
      </c>
      <c r="C350" s="877" t="s">
        <v>2459</v>
      </c>
    </row>
    <row r="351" spans="2:3">
      <c r="B351" s="877" t="s">
        <v>747</v>
      </c>
      <c r="C351" s="877" t="s">
        <v>923</v>
      </c>
    </row>
    <row r="352" spans="2:3">
      <c r="B352" s="877" t="s">
        <v>568</v>
      </c>
      <c r="C352" s="877" t="s">
        <v>923</v>
      </c>
    </row>
    <row r="353" spans="2:4">
      <c r="B353" s="877" t="s">
        <v>748</v>
      </c>
      <c r="C353" s="877" t="s">
        <v>2459</v>
      </c>
    </row>
    <row r="354" spans="2:4">
      <c r="B354" s="877" t="s">
        <v>564</v>
      </c>
      <c r="C354" s="877" t="s">
        <v>215</v>
      </c>
    </row>
    <row r="355" spans="2:4">
      <c r="B355" s="877" t="s">
        <v>569</v>
      </c>
      <c r="C355" s="877" t="s">
        <v>211</v>
      </c>
    </row>
    <row r="356" spans="2:4">
      <c r="B356" s="877" t="s">
        <v>565</v>
      </c>
      <c r="C356" s="877" t="s">
        <v>2459</v>
      </c>
    </row>
    <row r="357" spans="2:4">
      <c r="B357" s="877" t="s">
        <v>566</v>
      </c>
      <c r="C357" s="877" t="s">
        <v>2459</v>
      </c>
    </row>
    <row r="358" spans="2:4">
      <c r="B358" s="877" t="s">
        <v>567</v>
      </c>
      <c r="C358" s="877" t="s">
        <v>2459</v>
      </c>
    </row>
    <row r="359" spans="2:4">
      <c r="B359" s="877" t="s">
        <v>570</v>
      </c>
      <c r="C359" s="877" t="s">
        <v>215</v>
      </c>
    </row>
    <row r="360" spans="2:4">
      <c r="C360" s="808"/>
      <c r="D360" s="808"/>
    </row>
    <row r="361" spans="2:4">
      <c r="B361" s="878" t="s">
        <v>3635</v>
      </c>
    </row>
    <row r="362" spans="2:4">
      <c r="B362" s="877" t="s">
        <v>588</v>
      </c>
    </row>
    <row r="363" spans="2:4">
      <c r="B363" s="877" t="s">
        <v>586</v>
      </c>
    </row>
    <row r="364" spans="2:4">
      <c r="B364" s="877" t="s">
        <v>3636</v>
      </c>
    </row>
    <row r="366" spans="2:4">
      <c r="B366" s="878" t="s">
        <v>3637</v>
      </c>
    </row>
    <row r="367" spans="2:4">
      <c r="B367" s="877" t="s">
        <v>533</v>
      </c>
    </row>
    <row r="368" spans="2:4">
      <c r="B368" s="877" t="s">
        <v>3638</v>
      </c>
    </row>
  </sheetData>
  <sheetProtection algorithmName="SHA-512" hashValue="Ig1VCJmexiG4Y/SlKPfZ8V9oEkWbl2IyDh2FdAOIM+4vkUsvANXlq9+T0CZabnpt/OG4JldhSS8aQYyYzF+EKg==" saltValue="nW1MN7tLK47Y3ilb2mzuZg==" spinCount="100000" sheet="1" objects="1" scenarios="1" autoFilter="0"/>
  <phoneticPr fontId="2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b426575-5104-43cd-b880-b79c59032b34">
      <Terms xmlns="http://schemas.microsoft.com/office/infopath/2007/PartnerControls"/>
    </lcf76f155ced4ddcb4097134ff3c332f>
    <TaxCatchAll xmlns="54778260-c5e4-4baf-8033-b99fe684d46c" xsi:nil="true"/>
    <CloudMigratorVersion xmlns="0b426575-5104-43cd-b880-b79c59032b34" xsi:nil="true"/>
    <CloudMigratorOriginId xmlns="0b426575-5104-43cd-b880-b79c59032b34" xsi:nil="true"/>
    <UniqueSourceRef xmlns="0b426575-5104-43cd-b880-b79c59032b34" xsi:nil="true"/>
    <FileHash xmlns="0b426575-5104-43cd-b880-b79c59032b3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165F8BDE20FF409E8827477C1A997A" ma:contentTypeVersion="24" ma:contentTypeDescription="Create a new document." ma:contentTypeScope="" ma:versionID="a37d952072b8ed0cc252c2f268538e32">
  <xsd:schema xmlns:xsd="http://www.w3.org/2001/XMLSchema" xmlns:xs="http://www.w3.org/2001/XMLSchema" xmlns:p="http://schemas.microsoft.com/office/2006/metadata/properties" xmlns:ns2="0b426575-5104-43cd-b880-b79c59032b34" xmlns:ns3="54778260-c5e4-4baf-8033-b99fe684d46c" targetNamespace="http://schemas.microsoft.com/office/2006/metadata/properties" ma:root="true" ma:fieldsID="0babbe73944a6b46426d97c838bae12d" ns2:_="" ns3:_="">
    <xsd:import namespace="0b426575-5104-43cd-b880-b79c59032b34"/>
    <xsd:import namespace="54778260-c5e4-4baf-8033-b99fe684d46c"/>
    <xsd:element name="properties">
      <xsd:complexType>
        <xsd:sequence>
          <xsd:element name="documentManagement">
            <xsd:complexType>
              <xsd:all>
                <xsd:element ref="ns2:CloudMigratorOriginId" minOccurs="0"/>
                <xsd:element ref="ns2:FileHash" minOccurs="0"/>
                <xsd:element ref="ns2:CloudMigratorVersion" minOccurs="0"/>
                <xsd:element ref="ns2:UniqueSourceRef" minOccurs="0"/>
                <xsd:element ref="ns2:SharedWithUsers" minOccurs="0"/>
                <xsd:element ref="ns2:SharedWithDetails" minOccurs="0"/>
                <xsd:element ref="ns2:SharingHintHash"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426575-5104-43cd-b880-b79c59032b34" elementFormDefault="qualified">
    <xsd:import namespace="http://schemas.microsoft.com/office/2006/documentManagement/types"/>
    <xsd:import namespace="http://schemas.microsoft.com/office/infopath/2007/PartnerControls"/>
    <xsd:element name="CloudMigratorOriginId" ma:index="8" nillable="true" ma:displayName="CloudMigratorOriginId" ma:internalName="CloudMigratorOriginId">
      <xsd:simpleType>
        <xsd:restriction base="dms:Note">
          <xsd:maxLength value="255"/>
        </xsd:restriction>
      </xsd:simpleType>
    </xsd:element>
    <xsd:element name="FileHash" ma:index="9" nillable="true" ma:displayName="FileHash" ma:internalName="FileHash">
      <xsd:simpleType>
        <xsd:restriction base="dms:Note">
          <xsd:maxLength value="255"/>
        </xsd:restriction>
      </xsd:simpleType>
    </xsd:element>
    <xsd:element name="CloudMigratorVersion" ma:index="10" nillable="true" ma:displayName="CloudMigratorVersion" ma:internalName="CloudMigratorVersion">
      <xsd:simpleType>
        <xsd:restriction base="dms:Note">
          <xsd:maxLength value="255"/>
        </xsd:restriction>
      </xsd:simpleType>
    </xsd:element>
    <xsd:element name="UniqueSourceRef" ma:index="11" nillable="true" ma:displayName="UniqueSourceRef" ma:internalName="UniqueSourceRef">
      <xsd:simpleType>
        <xsd:restriction base="dms:Note">
          <xsd:maxLength value="255"/>
        </xsd:restriction>
      </xsd:simpleType>
    </xsd:element>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7cd9c4d7-f8a1-420d-afb2-7b991163d50a" ma:termSetId="09814cd3-568e-fe90-9814-8d621ff8fb84" ma:anchorId="fba54fb3-c3e1-fe81-a776-ca4b69148c4d" ma:open="true" ma:isKeyword="false">
      <xsd:complexType>
        <xsd:sequence>
          <xsd:element ref="pc:Terms" minOccurs="0" maxOccurs="1"/>
        </xsd:sequence>
      </xsd:complexType>
    </xsd:element>
    <xsd:element name="MediaLengthInSeconds" ma:index="28" nillable="true" ma:displayName="MediaLengthInSeconds" ma:hidden="true" ma:internalName="MediaLengthInSeconds" ma:readOnly="true">
      <xsd:simpleType>
        <xsd:restriction base="dms:Unknown"/>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778260-c5e4-4baf-8033-b99fe684d46c"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91ecbdcd-9637-4c49-8c16-bd5ffcd2f500}" ma:internalName="TaxCatchAll" ma:showField="CatchAllData" ma:web="54778260-c5e4-4baf-8033-b99fe684d46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FEB8DB-070F-43CD-8662-52C7DDB7C7AC}">
  <ds:schemaRefs>
    <ds:schemaRef ds:uri="http://schemas.microsoft.com/office/infopath/2007/PartnerControls"/>
    <ds:schemaRef ds:uri="http://www.w3.org/XML/1998/namespace"/>
    <ds:schemaRef ds:uri="54778260-c5e4-4baf-8033-b99fe684d46c"/>
    <ds:schemaRef ds:uri="http://purl.org/dc/terms/"/>
    <ds:schemaRef ds:uri="http://purl.org/dc/dcmitype/"/>
    <ds:schemaRef ds:uri="http://schemas.microsoft.com/office/2006/metadata/properties"/>
    <ds:schemaRef ds:uri="0b426575-5104-43cd-b880-b79c59032b34"/>
    <ds:schemaRef ds:uri="http://schemas.microsoft.com/office/2006/documentManagement/typ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6BBAA68A-8ED4-487F-BAA0-50098C96C1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426575-5104-43cd-b880-b79c59032b34"/>
    <ds:schemaRef ds:uri="54778260-c5e4-4baf-8033-b99fe684d4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7A4AE25-6726-466C-865D-A8BE58362319}">
  <ds:schemaRefs>
    <ds:schemaRef ds:uri="http://schemas.microsoft.com/sharepoint/v3/contenttype/forms"/>
  </ds:schemaRefs>
</ds:datastoreItem>
</file>

<file path=docMetadata/LabelInfo.xml><?xml version="1.0" encoding="utf-8"?>
<clbl:labelList xmlns:clbl="http://schemas.microsoft.com/office/2020/mipLabelMetadata">
  <clbl:label id="{072b9295-cb3f-462b-8aaa-a3f9988da704}" enabled="0" method="" siteId="{072b9295-cb3f-462b-8aaa-a3f9988da70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897</vt:i4>
      </vt:variant>
    </vt:vector>
  </HeadingPairs>
  <TitlesOfParts>
    <vt:vector size="920" baseType="lpstr">
      <vt:lpstr>Introduction</vt:lpstr>
      <vt:lpstr>Revision</vt:lpstr>
      <vt:lpstr>Checklist</vt:lpstr>
      <vt:lpstr>Key Changes since last RCE</vt:lpstr>
      <vt:lpstr>RCE Summary</vt:lpstr>
      <vt:lpstr>Infrastructure - Mine Entries</vt:lpstr>
      <vt:lpstr>Infrastructure Area</vt:lpstr>
      <vt:lpstr>Beneficiation Facility</vt:lpstr>
      <vt:lpstr>Tailings Storage Facilities</vt:lpstr>
      <vt:lpstr>Water Management Areas</vt:lpstr>
      <vt:lpstr>Overburden Emplacement Area</vt:lpstr>
      <vt:lpstr>Active Mining Area</vt:lpstr>
      <vt:lpstr>Underground Mining Area</vt:lpstr>
      <vt:lpstr>Exploration</vt:lpstr>
      <vt:lpstr>Other and Sundry</vt:lpstr>
      <vt:lpstr>Cost Schedule</vt:lpstr>
      <vt:lpstr>Rates</vt:lpstr>
      <vt:lpstr>Productivity</vt:lpstr>
      <vt:lpstr>Assumptions - General</vt:lpstr>
      <vt:lpstr>Assumptions - Capping</vt:lpstr>
      <vt:lpstr>Rate Mapping</vt:lpstr>
      <vt:lpstr>User Notes</vt:lpstr>
      <vt:lpstr>Lists</vt:lpstr>
      <vt:lpstr>Above_ground</vt:lpstr>
      <vt:lpstr>Acid_sulphate_soil_liming_rate</vt:lpstr>
      <vt:lpstr>Active_Mining_Area__Open_Cut_Void</vt:lpstr>
      <vt:lpstr>Admin_labour</vt:lpstr>
      <vt:lpstr>Admin_labour_rate</vt:lpstr>
      <vt:lpstr>Air_Compressor___tools</vt:lpstr>
      <vt:lpstr>Air_compressor_and_tools_rate</vt:lpstr>
      <vt:lpstr>Airstrip_names_CS</vt:lpstr>
      <vt:lpstr>Airstrip_rates_CS</vt:lpstr>
      <vt:lpstr>Airstrip_units_CS</vt:lpstr>
      <vt:lpstr>Airstrip_width</vt:lpstr>
      <vt:lpstr>Airstrip_with_gravel_thickness</vt:lpstr>
      <vt:lpstr>Aluminium_density</vt:lpstr>
      <vt:lpstr>Ameliorants</vt:lpstr>
      <vt:lpstr>Ameliorants_names_CS</vt:lpstr>
      <vt:lpstr>Ameliorants_rates_CS</vt:lpstr>
      <vt:lpstr>Ameliorants_soil_L</vt:lpstr>
      <vt:lpstr>Ameliorants_supply_distance</vt:lpstr>
      <vt:lpstr>Ammonium_Nitrate</vt:lpstr>
      <vt:lpstr>Ammonium_nitrate_rate</vt:lpstr>
      <vt:lpstr>Analysis_Asbestos_analysis</vt:lpstr>
      <vt:lpstr>Analysis_Asbestos_analysis_rate</vt:lpstr>
      <vt:lpstr>Analysis_Asbestos_presence</vt:lpstr>
      <vt:lpstr>Analysis_Asbestos_presence_rate</vt:lpstr>
      <vt:lpstr>Analysis_dupes_rate</vt:lpstr>
      <vt:lpstr>Analysis_duplicates</vt:lpstr>
      <vt:lpstr>Analysis_matrix_rate</vt:lpstr>
      <vt:lpstr>Analysis_matrix_spikes</vt:lpstr>
      <vt:lpstr>Analysis_NSW_exc_rate</vt:lpstr>
      <vt:lpstr>Analysis_NSW_Excavated_Material</vt:lpstr>
      <vt:lpstr>Analysis_PCB</vt:lpstr>
      <vt:lpstr>Analysis_PCB_rate</vt:lpstr>
      <vt:lpstr>Analysis_Pesticides</vt:lpstr>
      <vt:lpstr>Analysis_Pesticides_rate</vt:lpstr>
      <vt:lpstr>Analysis_PFAS</vt:lpstr>
      <vt:lpstr>Analysis_PFAS_rate</vt:lpstr>
      <vt:lpstr>Analysis_Radionuclides</vt:lpstr>
      <vt:lpstr>Analysis_Radionuclides_rate</vt:lpstr>
      <vt:lpstr>Analysis_rinsate</vt:lpstr>
      <vt:lpstr>Analysis_rinsate_rate</vt:lpstr>
      <vt:lpstr>Analysis_trip_blanks</vt:lpstr>
      <vt:lpstr>Analysis_trip_rate</vt:lpstr>
      <vt:lpstr>Anchors</vt:lpstr>
      <vt:lpstr>Anchors_rate</vt:lpstr>
      <vt:lpstr>Area</vt:lpstr>
      <vt:lpstr>Area_measure_L</vt:lpstr>
      <vt:lpstr>Arid</vt:lpstr>
      <vt:lpstr>Asbestos_from_buildings</vt:lpstr>
      <vt:lpstr>Asbestos_from_buildings_gate_fee</vt:lpstr>
      <vt:lpstr>Asbestos_from_pipe</vt:lpstr>
      <vt:lpstr>Asbestos_from_pipe_gate_fee</vt:lpstr>
      <vt:lpstr>Asbestos_in_soil</vt:lpstr>
      <vt:lpstr>Asbestos_in_soil_disposal_distance</vt:lpstr>
      <vt:lpstr>Asbestos_in_soil_disposal_gate_fee</vt:lpstr>
      <vt:lpstr>Asbestos_in_soil_disposal_gate_fee_rate</vt:lpstr>
      <vt:lpstr>Asbestos_pipe_specific_density</vt:lpstr>
      <vt:lpstr>Asbestos_sheet_density</vt:lpstr>
      <vt:lpstr>Asbestos_sheet_specific_density</vt:lpstr>
      <vt:lpstr>Asphalt_gravel_thickness</vt:lpstr>
      <vt:lpstr>Associate_Consultant</vt:lpstr>
      <vt:lpstr>Associate_Consultant_rate</vt:lpstr>
      <vt:lpstr>Assumptions_names</vt:lpstr>
      <vt:lpstr>Assumptions_Unit</vt:lpstr>
      <vt:lpstr>Assumptions_value</vt:lpstr>
      <vt:lpstr>Auditor___Director</vt:lpstr>
      <vt:lpstr>Auditor_director_rate</vt:lpstr>
      <vt:lpstr>Backhoe_420F</vt:lpstr>
      <vt:lpstr>Backhoe_420F_rate</vt:lpstr>
      <vt:lpstr>Backhoe_428F_4WD</vt:lpstr>
      <vt:lpstr>Backhoe_428F_rate</vt:lpstr>
      <vt:lpstr>Backhoe_attachments</vt:lpstr>
      <vt:lpstr>Backhoe_attachments_rate</vt:lpstr>
      <vt:lpstr>Bailers</vt:lpstr>
      <vt:lpstr>Bailers_rate</vt:lpstr>
      <vt:lpstr>Begin</vt:lpstr>
      <vt:lpstr>Beneficiation_Facility</vt:lpstr>
      <vt:lpstr>Biopile_minimum_volume_for_lump_sum_cost</vt:lpstr>
      <vt:lpstr>Biosolids__MSW__Manure</vt:lpstr>
      <vt:lpstr>Biosolids__MSW__Manure_rate</vt:lpstr>
      <vt:lpstr>Biosolids_application_rate</vt:lpstr>
      <vt:lpstr>Bitumen</vt:lpstr>
      <vt:lpstr>Blast_Hole_Drill_Rig__rate</vt:lpstr>
      <vt:lpstr>Bores_and_sumps_names_L</vt:lpstr>
      <vt:lpstr>Bores_explore_names_CS</vt:lpstr>
      <vt:lpstr>Bores_explore_rates_CS</vt:lpstr>
      <vt:lpstr>Bores_explore_units_CS</vt:lpstr>
      <vt:lpstr>Bores_infra_names_CS</vt:lpstr>
      <vt:lpstr>Bores_infra_rates_CS</vt:lpstr>
      <vt:lpstr>Bores_infra_units_CS</vt:lpstr>
      <vt:lpstr>Borrow_Pit</vt:lpstr>
      <vt:lpstr>Brick</vt:lpstr>
      <vt:lpstr>Brine_disposal_rate</vt:lpstr>
      <vt:lpstr>Bucket_Wheel</vt:lpstr>
      <vt:lpstr>Building_type_L</vt:lpstr>
      <vt:lpstr>Buildings_beneficiation_names_CS</vt:lpstr>
      <vt:lpstr>Buildings_beneficiation_rates_CS</vt:lpstr>
      <vt:lpstr>Buildings_beneficiation_units_CS</vt:lpstr>
      <vt:lpstr>Buildings_names_CS</vt:lpstr>
      <vt:lpstr>Buildings_rates_CS</vt:lpstr>
      <vt:lpstr>Buildings_units_CS</vt:lpstr>
      <vt:lpstr>Bund_base_width</vt:lpstr>
      <vt:lpstr>Bund_footprint_additional_width_to_prepare</vt:lpstr>
      <vt:lpstr>Bund_height</vt:lpstr>
      <vt:lpstr>Bund_Swell</vt:lpstr>
      <vt:lpstr>Bund_top_width</vt:lpstr>
      <vt:lpstr>Buried</vt:lpstr>
      <vt:lpstr>Buried_tank_steel_thickness</vt:lpstr>
      <vt:lpstr>Capping_clay</vt:lpstr>
      <vt:lpstr>Capping_clay_purchase</vt:lpstr>
      <vt:lpstr>Capping_clay_purchase_rate</vt:lpstr>
      <vt:lpstr>Capping_geosynthetic</vt:lpstr>
      <vt:lpstr>Capping_geosynthetic_rate</vt:lpstr>
      <vt:lpstr>Capping_geotextile_Bidim_A24</vt:lpstr>
      <vt:lpstr>Capping_geotextile_Bidim_A24_rate</vt:lpstr>
      <vt:lpstr>Capping_HDPE_2mm</vt:lpstr>
      <vt:lpstr>Capping_HDPE_2mm_rate</vt:lpstr>
      <vt:lpstr>Capping_risk_level_HLP_L</vt:lpstr>
      <vt:lpstr>Capping_risk_level_WRD_L</vt:lpstr>
      <vt:lpstr>Capping_risk_levels_TSF_L</vt:lpstr>
      <vt:lpstr>Capping_TSF_risk_level_CS</vt:lpstr>
      <vt:lpstr>Capping_TSF_risk_level_rate_CS</vt:lpstr>
      <vt:lpstr>Care_and_Maintenance_names_CS</vt:lpstr>
      <vt:lpstr>Care_and_Maintenance_rates_CS</vt:lpstr>
      <vt:lpstr>Checklist_for_Title_Holders</vt:lpstr>
      <vt:lpstr>Circle</vt:lpstr>
      <vt:lpstr>Clay_source</vt:lpstr>
      <vt:lpstr>Clean_water_retained_names_CS</vt:lpstr>
      <vt:lpstr>Clean_water_retained_rates_CS</vt:lpstr>
      <vt:lpstr>Closure_plans_names_CS</vt:lpstr>
      <vt:lpstr>Closure_plans_rates_CS</vt:lpstr>
      <vt:lpstr>Closure_plans_unit_CS</vt:lpstr>
      <vt:lpstr>Compactor_533_sheepsfoot_rate</vt:lpstr>
      <vt:lpstr>Compactor_633_sheepsfoot_rate</vt:lpstr>
      <vt:lpstr>Compactor_633_vibratory_rate</vt:lpstr>
      <vt:lpstr>Compactor_CP533E_Sheepsfoot</vt:lpstr>
      <vt:lpstr>Compactor_CP633E_Sheepsfoot</vt:lpstr>
      <vt:lpstr>Compactor_CS633E_Vibratory</vt:lpstr>
      <vt:lpstr>Compactor_plate</vt:lpstr>
      <vt:lpstr>Compactor_plate_rate</vt:lpstr>
      <vt:lpstr>CompanyName</vt:lpstr>
      <vt:lpstr>Concrete</vt:lpstr>
      <vt:lpstr>Concrete_base</vt:lpstr>
      <vt:lpstr>Concrete_break_rate</vt:lpstr>
      <vt:lpstr>Concrete_break_rate_overpass</vt:lpstr>
      <vt:lpstr>Concrete_crush_30mm</vt:lpstr>
      <vt:lpstr>Concrete_crush_50mm</vt:lpstr>
      <vt:lpstr>Concrete_crush_75mm</vt:lpstr>
      <vt:lpstr>Concrete_crush_names_CS</vt:lpstr>
      <vt:lpstr>Concrete_crush_rates_CS</vt:lpstr>
      <vt:lpstr>Concrete_crushing_plant</vt:lpstr>
      <vt:lpstr>Concrete_crushing_plant_rate</vt:lpstr>
      <vt:lpstr>Concrete_density</vt:lpstr>
      <vt:lpstr>Concrete_disposal_distance</vt:lpstr>
      <vt:lpstr>Concrete_for_holes</vt:lpstr>
      <vt:lpstr>Concrete_for_holes_rate</vt:lpstr>
      <vt:lpstr>Concrete_plug_thickness</vt:lpstr>
      <vt:lpstr>Concrete_pumping_rate</vt:lpstr>
      <vt:lpstr>Concrete_rail_loading_bin_thickness</vt:lpstr>
      <vt:lpstr>Concrete_ring_tank</vt:lpstr>
      <vt:lpstr>Concrete_roof</vt:lpstr>
      <vt:lpstr>Concrete_rubble_debris_disposal</vt:lpstr>
      <vt:lpstr>Concrete_rubble_debris_disposal_gate_fee</vt:lpstr>
      <vt:lpstr>Concrete_rubble_debris_disposal_gate_fee_rate</vt:lpstr>
      <vt:lpstr>Concrete_slab_thickness_transformer</vt:lpstr>
      <vt:lpstr>Concrete_truck</vt:lpstr>
      <vt:lpstr>Concrete_truck_capacity</vt:lpstr>
      <vt:lpstr>Concrete_truck_rate</vt:lpstr>
      <vt:lpstr>Concrete_wall</vt:lpstr>
      <vt:lpstr>Cone_penetrometer</vt:lpstr>
      <vt:lpstr>Cone_penetrometer_rate</vt:lpstr>
      <vt:lpstr>Construction_labour</vt:lpstr>
      <vt:lpstr>Construction_labour_rate</vt:lpstr>
      <vt:lpstr>Container_list</vt:lpstr>
      <vt:lpstr>Contaminated_land_studies_CS</vt:lpstr>
      <vt:lpstr>Contaminated_land_studies_rates_CS</vt:lpstr>
      <vt:lpstr>Contaminated_land_studies_units_CS</vt:lpstr>
      <vt:lpstr>Contaminated_soil_names_CS</vt:lpstr>
      <vt:lpstr>Contaminated_soil_rates_CS</vt:lpstr>
      <vt:lpstr>Contaminated_soil_units_CS</vt:lpstr>
      <vt:lpstr>Conv_AUD_to_USD</vt:lpstr>
      <vt:lpstr>Conv_g_in_kg</vt:lpstr>
      <vt:lpstr>conv_hrs_in_day</vt:lpstr>
      <vt:lpstr>conv_kilograms_in_tonne</vt:lpstr>
      <vt:lpstr>Conv_kph_to_mpermin</vt:lpstr>
      <vt:lpstr>Conv_L_in_kL</vt:lpstr>
      <vt:lpstr>Conv_L_in_ML</vt:lpstr>
      <vt:lpstr>conv_m_km</vt:lpstr>
      <vt:lpstr>Conv_mg_in_kg</vt:lpstr>
      <vt:lpstr>Conv_mins_in_hour</vt:lpstr>
      <vt:lpstr>Conv_mm_in_metres</vt:lpstr>
      <vt:lpstr>Conv_secs_in_min</vt:lpstr>
      <vt:lpstr>Conv_sqm_ha</vt:lpstr>
      <vt:lpstr>Conveyor_down_drift</vt:lpstr>
      <vt:lpstr>Conveyor_elevated</vt:lpstr>
      <vt:lpstr>Conveyor_on_ground</vt:lpstr>
      <vt:lpstr>Conveyor_overhead</vt:lpstr>
      <vt:lpstr>Conveyor_reclaim</vt:lpstr>
      <vt:lpstr>Conveyors_tunnels_names_CS</vt:lpstr>
      <vt:lpstr>Conveyors_tunnels_rates_CS</vt:lpstr>
      <vt:lpstr>COST_SCHEDULE</vt:lpstr>
      <vt:lpstr>Costs_Rates_Names_CS</vt:lpstr>
      <vt:lpstr>Cover_HDPE_0.5_mm</vt:lpstr>
      <vt:lpstr>Cover_HDPE_0.5_mm_rate</vt:lpstr>
      <vt:lpstr>Crane_120_tonne</vt:lpstr>
      <vt:lpstr>Crane_120t_rate</vt:lpstr>
      <vt:lpstr>Crane_20_tonne</vt:lpstr>
      <vt:lpstr>Crane_20t_rate</vt:lpstr>
      <vt:lpstr>Crane_5_tonne</vt:lpstr>
      <vt:lpstr>Crane_50_tonne</vt:lpstr>
      <vt:lpstr>Crane_50t_rate</vt:lpstr>
      <vt:lpstr>Crane_5t_rate</vt:lpstr>
      <vt:lpstr>Crane_truck</vt:lpstr>
      <vt:lpstr>Crane_truck_rate</vt:lpstr>
      <vt:lpstr>Creek_diversions_names_CS</vt:lpstr>
      <vt:lpstr>Creek_diversions_rates_CS</vt:lpstr>
      <vt:lpstr>Dam_buffer_around_crest_for_grade_and_seed</vt:lpstr>
      <vt:lpstr>Dam_evap_names_CS</vt:lpstr>
      <vt:lpstr>Dam_evap_rates_CS</vt:lpstr>
      <vt:lpstr>Dam_evaporation</vt:lpstr>
      <vt:lpstr>Dam_evaporation_sediment_thickness</vt:lpstr>
      <vt:lpstr>Dam_liner_multiplier_to_account_for_sides</vt:lpstr>
      <vt:lpstr>Dam_liner_select_L</vt:lpstr>
      <vt:lpstr>Dam_names_CS</vt:lpstr>
      <vt:lpstr>Dam_process</vt:lpstr>
      <vt:lpstr>Dam_process_names_CS</vt:lpstr>
      <vt:lpstr>Dam_process_rates_CS</vt:lpstr>
      <vt:lpstr>Dam_process_sediment_thickness</vt:lpstr>
      <vt:lpstr>Dam_rates_CS</vt:lpstr>
      <vt:lpstr>Dam_raw</vt:lpstr>
      <vt:lpstr>Dam_raw_names_CS</vt:lpstr>
      <vt:lpstr>Dam_raw_rates_CS</vt:lpstr>
      <vt:lpstr>Dam_raw_sediment_thickness</vt:lpstr>
      <vt:lpstr>Dam_size_L</vt:lpstr>
      <vt:lpstr>Dam_top_soil_thickness</vt:lpstr>
      <vt:lpstr>Dam_type</vt:lpstr>
      <vt:lpstr>De_contamination_water_4L</vt:lpstr>
      <vt:lpstr>De_contamination_water_4L_rate</vt:lpstr>
      <vt:lpstr>Demolition_crew</vt:lpstr>
      <vt:lpstr>Demolition_crew_rate_R</vt:lpstr>
      <vt:lpstr>Difficult_cap</vt:lpstr>
      <vt:lpstr>Dimension_measure</vt:lpstr>
      <vt:lpstr>Dogman</vt:lpstr>
      <vt:lpstr>Dogman_rate</vt:lpstr>
      <vt:lpstr>Double_skin_tank</vt:lpstr>
      <vt:lpstr>Dozer_applied</vt:lpstr>
      <vt:lpstr>Dozer_D10_rate</vt:lpstr>
      <vt:lpstr>Dozer_D10T</vt:lpstr>
      <vt:lpstr>Dozer_D11_rate</vt:lpstr>
      <vt:lpstr>Dozer_D11T</vt:lpstr>
      <vt:lpstr>Dozer_D6_rate</vt:lpstr>
      <vt:lpstr>Dozer_D6R</vt:lpstr>
      <vt:lpstr>Dozer_D7_rate</vt:lpstr>
      <vt:lpstr>Dozer_D7R</vt:lpstr>
      <vt:lpstr>Dozer_D8_rate</vt:lpstr>
      <vt:lpstr>Dozer_D8R</vt:lpstr>
      <vt:lpstr>Dozer_D9_rate</vt:lpstr>
      <vt:lpstr>Dozer_D9R</vt:lpstr>
      <vt:lpstr>Dozer_lengths_imperial_lists</vt:lpstr>
      <vt:lpstr>Dozer_lengths_L</vt:lpstr>
      <vt:lpstr>Dozer_lengths_productivity</vt:lpstr>
      <vt:lpstr>Dozer_push_names_CS</vt:lpstr>
      <vt:lpstr>Dozer_push_names_P</vt:lpstr>
      <vt:lpstr>Dozer_push_rates_CS</vt:lpstr>
      <vt:lpstr>Dozer_rip_names_CS</vt:lpstr>
      <vt:lpstr>Dozer_rip_names_P</vt:lpstr>
      <vt:lpstr>Dozer_rip_rates_CS</vt:lpstr>
      <vt:lpstr>Dozer_shape_doze_for_drainage_names_CS</vt:lpstr>
      <vt:lpstr>Dozer_shape_doze_for_drainage_rates_CS</vt:lpstr>
      <vt:lpstr>Dozer_shape_reprofile_area_names_CS</vt:lpstr>
      <vt:lpstr>Dozer_shape_reprofile_area_rate_CS</vt:lpstr>
      <vt:lpstr>Dozer_shape_reprofile_volume_names_CS</vt:lpstr>
      <vt:lpstr>Dozer_shape_reprofile_volume_rate_CS</vt:lpstr>
      <vt:lpstr>Dozer_time_rip_productivity</vt:lpstr>
      <vt:lpstr>Dozer_values_productivity</vt:lpstr>
      <vt:lpstr>Draftsman_Technician</vt:lpstr>
      <vt:lpstr>Draftsman_technician_rate</vt:lpstr>
      <vt:lpstr>Drains_names_CS</vt:lpstr>
      <vt:lpstr>Drains_rates_CS</vt:lpstr>
      <vt:lpstr>Drill_Rig___Blast_Hole___Atlas_Copco_D65</vt:lpstr>
      <vt:lpstr>Drill_Rig___Geoprobe</vt:lpstr>
      <vt:lpstr>Drillers_helper</vt:lpstr>
      <vt:lpstr>Drillers_helper_rate</vt:lpstr>
      <vt:lpstr>Drillrig_Geoprobe_rate</vt:lpstr>
      <vt:lpstr>Earth_compacted</vt:lpstr>
      <vt:lpstr>Earthen</vt:lpstr>
      <vt:lpstr>Electrician</vt:lpstr>
      <vt:lpstr>Electrician_rate</vt:lpstr>
      <vt:lpstr>Electricity</vt:lpstr>
      <vt:lpstr>Electricity_rate</vt:lpstr>
      <vt:lpstr>End_dozer_rates_CS</vt:lpstr>
      <vt:lpstr>Excavate_and_place</vt:lpstr>
      <vt:lpstr>Excavator_1900_rate</vt:lpstr>
      <vt:lpstr>Excavator_312F</vt:lpstr>
      <vt:lpstr>Excavator_312F_rate</vt:lpstr>
      <vt:lpstr>Excavator_320_rate</vt:lpstr>
      <vt:lpstr>Excavator_320C_F</vt:lpstr>
      <vt:lpstr>Excavator_325_rate</vt:lpstr>
      <vt:lpstr>Excavator_325C_F</vt:lpstr>
      <vt:lpstr>Excavator_330_rate</vt:lpstr>
      <vt:lpstr>Excavator_330F</vt:lpstr>
      <vt:lpstr>Excavator_340_rate</vt:lpstr>
      <vt:lpstr>Excavator_340F__345B</vt:lpstr>
      <vt:lpstr>Excavator_374_rate</vt:lpstr>
      <vt:lpstr>Excavator_374F</vt:lpstr>
      <vt:lpstr>Excavator_385_rate</vt:lpstr>
      <vt:lpstr>Excavator_385BL__390F</vt:lpstr>
      <vt:lpstr>Excavator_construct_bund_rate</vt:lpstr>
      <vt:lpstr>Excavator_Cut_Aluminium_Plate</vt:lpstr>
      <vt:lpstr>Excavator_Cut_Cladding</vt:lpstr>
      <vt:lpstr>Excavator_Cut_Liner</vt:lpstr>
      <vt:lpstr>Excavator_Cut_Pipe</vt:lpstr>
      <vt:lpstr>Excavator_Cut_Steel_Plate</vt:lpstr>
      <vt:lpstr>Excavator_EX_2500</vt:lpstr>
      <vt:lpstr>Excavator_EX2500_rate</vt:lpstr>
      <vt:lpstr>Excavator_Liner_Rolling</vt:lpstr>
      <vt:lpstr>Excavator_PC_1250</vt:lpstr>
      <vt:lpstr>Excavator_PC_1900</vt:lpstr>
      <vt:lpstr>Excavator_PC1250_rate</vt:lpstr>
      <vt:lpstr>Excavator_productivity_backfill_tamp_trench</vt:lpstr>
      <vt:lpstr>Excavator_productivity_list</vt:lpstr>
      <vt:lpstr>Excavator_productivity_rates</vt:lpstr>
      <vt:lpstr>Excavator_productivity_soil_exc_load_free</vt:lpstr>
      <vt:lpstr>Excavator_productivity_soil_exc_load_trench</vt:lpstr>
      <vt:lpstr>Excavator_strip_Insulation</vt:lpstr>
      <vt:lpstr>Exp_easements_names_L</vt:lpstr>
      <vt:lpstr>Exploration</vt:lpstr>
      <vt:lpstr>Exploration_dam_names_CS</vt:lpstr>
      <vt:lpstr>Exploration_dam_rates_CS</vt:lpstr>
      <vt:lpstr>Exploration_mobe_names_CS</vt:lpstr>
      <vt:lpstr>Exploration_mobe_rates_CS</vt:lpstr>
      <vt:lpstr>Exploration_rate_set_CS</vt:lpstr>
      <vt:lpstr>Exploration_rate_set_rates_CS</vt:lpstr>
      <vt:lpstr>Explosive_consumables</vt:lpstr>
      <vt:lpstr>Explosive_consumables_rate</vt:lpstr>
      <vt:lpstr>Explosive_including_delivery_down_hole</vt:lpstr>
      <vt:lpstr>Explosive_including_delivery_down_hole_rate</vt:lpstr>
      <vt:lpstr>Fencing_names_CS</vt:lpstr>
      <vt:lpstr>Fencing_rates_CS</vt:lpstr>
      <vt:lpstr>Fertiliser_native</vt:lpstr>
      <vt:lpstr>Fertiliser_native_application_rate</vt:lpstr>
      <vt:lpstr>Fertiliser_native_rate</vt:lpstr>
      <vt:lpstr>Fertiliser_pasture</vt:lpstr>
      <vt:lpstr>Fertiliser_pasture_application_rate</vt:lpstr>
      <vt:lpstr>Fertiliser_pasture_rate</vt:lpstr>
      <vt:lpstr>Filter_dropdowns</vt:lpstr>
      <vt:lpstr>Fleet_size_list</vt:lpstr>
      <vt:lpstr>Foreperson</vt:lpstr>
      <vt:lpstr>Foreperson_rate</vt:lpstr>
      <vt:lpstr>Fuel_tanker</vt:lpstr>
      <vt:lpstr>Fuel_tanker_rate</vt:lpstr>
      <vt:lpstr>G</vt:lpstr>
      <vt:lpstr>Gas_axe</vt:lpstr>
      <vt:lpstr>Gas_axe_rate</vt:lpstr>
      <vt:lpstr>General_waste_disposal_distance</vt:lpstr>
      <vt:lpstr>Geomembrane_buy_install_CS</vt:lpstr>
      <vt:lpstr>Geomembrane_specific_mass</vt:lpstr>
      <vt:lpstr>Geosynthetic_buy_install_CS</vt:lpstr>
      <vt:lpstr>Geotextile_buy_install_CS</vt:lpstr>
      <vt:lpstr>GIS</vt:lpstr>
      <vt:lpstr>Gloves</vt:lpstr>
      <vt:lpstr>Gloves_rate</vt:lpstr>
      <vt:lpstr>Grader_12M</vt:lpstr>
      <vt:lpstr>Grader_12M_rate</vt:lpstr>
      <vt:lpstr>Grader_14G_H_M</vt:lpstr>
      <vt:lpstr>Grader_14G_rate</vt:lpstr>
      <vt:lpstr>Grader_16G_H_M</vt:lpstr>
      <vt:lpstr>Grader_16G_rate</vt:lpstr>
      <vt:lpstr>Grader_rip_names_CS</vt:lpstr>
      <vt:lpstr>Grader_rip_rates_CS</vt:lpstr>
      <vt:lpstr>Grader_trim_names_CS</vt:lpstr>
      <vt:lpstr>Grader_trim_rates_CS</vt:lpstr>
      <vt:lpstr>Grand_total</vt:lpstr>
      <vt:lpstr>Grapple_G315__fits_320_325</vt:lpstr>
      <vt:lpstr>Grapple_G315_Grapple_G315__fits_320_325_rate</vt:lpstr>
      <vt:lpstr>Grapple_G320__fits_325_330</vt:lpstr>
      <vt:lpstr>Grapple_G320__fits_325_330_rate</vt:lpstr>
      <vt:lpstr>Grapple_G330__fits_340_374</vt:lpstr>
      <vt:lpstr>Grapple_G330__fits_340_rate</vt:lpstr>
      <vt:lpstr>Grass</vt:lpstr>
      <vt:lpstr>Gravel</vt:lpstr>
      <vt:lpstr>Grout_for_plugging_holes</vt:lpstr>
      <vt:lpstr>Grout_plug_holes_rate</vt:lpstr>
      <vt:lpstr>Grout_wastage_factor</vt:lpstr>
      <vt:lpstr>Growth_media</vt:lpstr>
      <vt:lpstr>Growth_media__names_CS</vt:lpstr>
      <vt:lpstr>Growth_media_fill_names_R</vt:lpstr>
      <vt:lpstr>Growth_media_fill_rates_R</vt:lpstr>
      <vt:lpstr>Growth_media_fill_units_R</vt:lpstr>
      <vt:lpstr>Growth_media_prop_def_rates</vt:lpstr>
      <vt:lpstr>Growth_media_purchase</vt:lpstr>
      <vt:lpstr>Growth_media_purchase_rate</vt:lpstr>
      <vt:lpstr>Growth_media_rates_CS</vt:lpstr>
      <vt:lpstr>Growth_media_soil_density</vt:lpstr>
      <vt:lpstr>Growth_media_TSF_thickness</vt:lpstr>
      <vt:lpstr>Gypsum</vt:lpstr>
      <vt:lpstr>Gypsum_and_Biosolids</vt:lpstr>
      <vt:lpstr>Gypsum_application_rate</vt:lpstr>
      <vt:lpstr>Gypsum_rate</vt:lpstr>
      <vt:lpstr>ha</vt:lpstr>
      <vt:lpstr>Hammer_325_rate</vt:lpstr>
      <vt:lpstr>Hammer_340_rate</vt:lpstr>
      <vt:lpstr>Hammer_365_rate</vt:lpstr>
      <vt:lpstr>Hammer_H_110_120__fits_325</vt:lpstr>
      <vt:lpstr>Hammer_H_160__fits_340_345</vt:lpstr>
      <vt:lpstr>Hammer_H_180__fits_365_370_385_390</vt:lpstr>
      <vt:lpstr>Handcast</vt:lpstr>
      <vt:lpstr>Haul_and_place</vt:lpstr>
      <vt:lpstr>Haul_roads_area_arid_names_CS</vt:lpstr>
      <vt:lpstr>Haul_roads_area_arid_rates_CS</vt:lpstr>
      <vt:lpstr>Haul_roads_area_names_CS</vt:lpstr>
      <vt:lpstr>Haul_roads_area_native_names_CS</vt:lpstr>
      <vt:lpstr>Haul_roads_area_native_rates_CS</vt:lpstr>
      <vt:lpstr>Haul_roads_area_pasture_names_CS</vt:lpstr>
      <vt:lpstr>Haul_roads_area_pasture_rates_CS</vt:lpstr>
      <vt:lpstr>Haul_roads_area_rates_CS</vt:lpstr>
      <vt:lpstr>Haul_roads_length_arid_names_CS</vt:lpstr>
      <vt:lpstr>Haul_roads_length_arid_rates_CS</vt:lpstr>
      <vt:lpstr>Haul_roads_length_names_CS</vt:lpstr>
      <vt:lpstr>Haul_roads_length_native_names_CS</vt:lpstr>
      <vt:lpstr>Haul_roads_length_native_rates_CS</vt:lpstr>
      <vt:lpstr>Haul_roads_length_pasture_names_CS</vt:lpstr>
      <vt:lpstr>Haul_roads_length_pasture_rates_CS</vt:lpstr>
      <vt:lpstr>Haul_roads_length_rates_CS</vt:lpstr>
      <vt:lpstr>Haul_roads_rock_gravel_bitumen_cover_thickness</vt:lpstr>
      <vt:lpstr>Haul_roads_track_rail_growth_media_thickness</vt:lpstr>
      <vt:lpstr>Haul_roads_width</vt:lpstr>
      <vt:lpstr>Hay_mulch_application_rate</vt:lpstr>
      <vt:lpstr>Hay_Mulch_Sugar_Cane</vt:lpstr>
      <vt:lpstr>Hay_Mulch_Sugar_Cane_rate</vt:lpstr>
      <vt:lpstr>Hazardous_waste</vt:lpstr>
      <vt:lpstr>Hazardous_waste_disposal_distance</vt:lpstr>
      <vt:lpstr>Hazardous_waste_gate_fee</vt:lpstr>
      <vt:lpstr>Hazardous_waste_rate</vt:lpstr>
      <vt:lpstr>HAZMAT_names_CS</vt:lpstr>
      <vt:lpstr>HAZMAT_rates_CS</vt:lpstr>
      <vt:lpstr>HAZMAT_units_CS</vt:lpstr>
      <vt:lpstr>HDPE_welder</vt:lpstr>
      <vt:lpstr>HDPE_welder_rate</vt:lpstr>
      <vt:lpstr>Health_and_Safety_Lead</vt:lpstr>
      <vt:lpstr>Health_and_Safety_Lead_rate</vt:lpstr>
      <vt:lpstr>Hide</vt:lpstr>
      <vt:lpstr>High_risk_cap</vt:lpstr>
      <vt:lpstr>HLP_names_CS</vt:lpstr>
      <vt:lpstr>HLP_rates_CS</vt:lpstr>
      <vt:lpstr>Horizontal_tank</vt:lpstr>
      <vt:lpstr>hours_per_day</vt:lpstr>
      <vt:lpstr>Hydrated_Lime</vt:lpstr>
      <vt:lpstr>Hydrated_lime_rate</vt:lpstr>
      <vt:lpstr>Hydro_rig</vt:lpstr>
      <vt:lpstr>Hydromulch_BFM_application_rate</vt:lpstr>
      <vt:lpstr>Hydromulch_BFM_native</vt:lpstr>
      <vt:lpstr>Hydromulch_BFM_native_rate</vt:lpstr>
      <vt:lpstr>Hydromulch_BFM_native_seed_application_rate</vt:lpstr>
      <vt:lpstr>Hydromulch_BFM_pasture</vt:lpstr>
      <vt:lpstr>Hydromulch_BFM_pasture_rate</vt:lpstr>
      <vt:lpstr>Hydromulch_BFM_pasture_seed_application_rate</vt:lpstr>
      <vt:lpstr>Hydromulch_BFM_productivity_P</vt:lpstr>
      <vt:lpstr>Hydromulch_BFM_rate</vt:lpstr>
      <vt:lpstr>Hydromulch_BGM_native</vt:lpstr>
      <vt:lpstr>Hydromulch_BGM_native_seed</vt:lpstr>
      <vt:lpstr>Hydromulch_BGM_native_seed_application_rate</vt:lpstr>
      <vt:lpstr>Hydromulch_BGM_native_seed_rate</vt:lpstr>
      <vt:lpstr>Hydromulch_BGM_pasture_seed</vt:lpstr>
      <vt:lpstr>Hydromulch_BGM_pasture_seed_application_rate</vt:lpstr>
      <vt:lpstr>Hydromulch_BGM_pasture_seed_rate</vt:lpstr>
      <vt:lpstr>Hydromulch_BGM_productivity_P</vt:lpstr>
      <vt:lpstr>Hydromulch_FRM_native</vt:lpstr>
      <vt:lpstr>Hydromulch_FRM_native_seed_application_rate</vt:lpstr>
      <vt:lpstr>Hydromulch_FRM_native_seed_rate</vt:lpstr>
      <vt:lpstr>Hydromulch_FRM_pasture</vt:lpstr>
      <vt:lpstr>Hydromulch_FRM_pasture_seed_application_rate</vt:lpstr>
      <vt:lpstr>Hydromulch_FRM_pasture_seed_rate</vt:lpstr>
      <vt:lpstr>Hydromulch_FRM_productivity_P</vt:lpstr>
      <vt:lpstr>Hydrorig_rate</vt:lpstr>
      <vt:lpstr>Hydroseed_productivity_P</vt:lpstr>
      <vt:lpstr>Hydroseeding_native_application_rate</vt:lpstr>
      <vt:lpstr>Hydroseeding_native_seed</vt:lpstr>
      <vt:lpstr>Hydroseeding_native_seed_rate</vt:lpstr>
      <vt:lpstr>Hydroseeding_pasture_application_rate</vt:lpstr>
      <vt:lpstr>Hydroseeding_pasture_seed</vt:lpstr>
      <vt:lpstr>Hydroseeding_pasture_seed_rate</vt:lpstr>
      <vt:lpstr>Incidental_waste_disposal_distance</vt:lpstr>
      <vt:lpstr>Inflation</vt:lpstr>
      <vt:lpstr>Infrastructure_Area</vt:lpstr>
      <vt:lpstr>Infrastructure_Mine_Entries</vt:lpstr>
      <vt:lpstr>Infrastructure_names_list</vt:lpstr>
      <vt:lpstr>Infrastructure_values</vt:lpstr>
      <vt:lpstr>Junior_Consultant</vt:lpstr>
      <vt:lpstr>Junior_Consultant_rate</vt:lpstr>
      <vt:lpstr>km</vt:lpstr>
      <vt:lpstr>Labour__General</vt:lpstr>
      <vt:lpstr>Labour_General_rate</vt:lpstr>
      <vt:lpstr>Large</vt:lpstr>
      <vt:lpstr>Laydown</vt:lpstr>
      <vt:lpstr>Laydown_names_CS</vt:lpstr>
      <vt:lpstr>Laydown_names_exploration_CS</vt:lpstr>
      <vt:lpstr>Laydown_rates_CS</vt:lpstr>
      <vt:lpstr>Laydown_rates_exploration_CS</vt:lpstr>
      <vt:lpstr>Leave_in_place</vt:lpstr>
      <vt:lpstr>Length</vt:lpstr>
      <vt:lpstr>Lime</vt:lpstr>
      <vt:lpstr>Lime_application_rate</vt:lpstr>
      <vt:lpstr>Lime_rate</vt:lpstr>
      <vt:lpstr>Lined</vt:lpstr>
      <vt:lpstr>Liner_HDPE_1mm</vt:lpstr>
      <vt:lpstr>Liner_HDPE_1mm_rate</vt:lpstr>
      <vt:lpstr>Liner_specific_mass</vt:lpstr>
      <vt:lpstr>Liquid_waste_disposal_distance</vt:lpstr>
      <vt:lpstr>LISTS</vt:lpstr>
      <vt:lpstr>Load_and_haul_water_names_CS</vt:lpstr>
      <vt:lpstr>Load_and_haul_water_rates_CS</vt:lpstr>
      <vt:lpstr>Load_haul_brine_names_CS</vt:lpstr>
      <vt:lpstr>Load_haul_brine_rates_CS</vt:lpstr>
      <vt:lpstr>Load_haul_fill_names_CS</vt:lpstr>
      <vt:lpstr>Load_haul_fill_rates_CS</vt:lpstr>
      <vt:lpstr>Load_haul_names_L</vt:lpstr>
      <vt:lpstr>Load_haul_soil_names_CS</vt:lpstr>
      <vt:lpstr>Load_haul_soil_rates_CS</vt:lpstr>
      <vt:lpstr>Load_haul_stabilised_names_CS</vt:lpstr>
      <vt:lpstr>Load_haul_stabilised_rates_CS</vt:lpstr>
      <vt:lpstr>Loader_926_rate</vt:lpstr>
      <vt:lpstr>Loader_926M</vt:lpstr>
      <vt:lpstr>Loader_930K</vt:lpstr>
      <vt:lpstr>Loader_930M_rate</vt:lpstr>
      <vt:lpstr>Loader_950M</vt:lpstr>
      <vt:lpstr>Loader_950M_rate</vt:lpstr>
      <vt:lpstr>Loader_966_rate</vt:lpstr>
      <vt:lpstr>Loader_966G_M</vt:lpstr>
      <vt:lpstr>Loader_972M</vt:lpstr>
      <vt:lpstr>Loader_972M_rate</vt:lpstr>
      <vt:lpstr>Loader_980M</vt:lpstr>
      <vt:lpstr>Loader_980M_rate</vt:lpstr>
      <vt:lpstr>Loader_988_rate</vt:lpstr>
      <vt:lpstr>Loader_988G__990K</vt:lpstr>
      <vt:lpstr>Loader_992_rate</vt:lpstr>
      <vt:lpstr>Loader_992G_K</vt:lpstr>
      <vt:lpstr>Loader_994_rate</vt:lpstr>
      <vt:lpstr>Loader_994K</vt:lpstr>
      <vt:lpstr>Loading_name_spot_CS</vt:lpstr>
      <vt:lpstr>Loading_names_CS</vt:lpstr>
      <vt:lpstr>Loading_rates_CS</vt:lpstr>
      <vt:lpstr>Long_haul_clay_names_CS</vt:lpstr>
      <vt:lpstr>Long_haul_clay_rates_CS</vt:lpstr>
      <vt:lpstr>Long_haul_concrete_plug_distances_CS</vt:lpstr>
      <vt:lpstr>Long_haul_concrete_plug_rates_CS</vt:lpstr>
      <vt:lpstr>Long_haul_concrete_rubble_distances_CS</vt:lpstr>
      <vt:lpstr>Long_haul_concrete_rubble_rates_CS</vt:lpstr>
      <vt:lpstr>Long_haul_distance_names_L</vt:lpstr>
      <vt:lpstr>Long_haul_distances_average_L</vt:lpstr>
      <vt:lpstr>Long_haul_oil_names_CS</vt:lpstr>
      <vt:lpstr>Long_haul_oil_rates_CS</vt:lpstr>
      <vt:lpstr>Long_haul_soil_amend_names_mass_CS</vt:lpstr>
      <vt:lpstr>Long_haul_soil_amend_names_volume_CS</vt:lpstr>
      <vt:lpstr>Long_haul_soil_amend_rates_mass_CS</vt:lpstr>
      <vt:lpstr>Long_haul_soil_amend_rates_volume_CS</vt:lpstr>
      <vt:lpstr>Long_haul_steel_distances_CS</vt:lpstr>
      <vt:lpstr>Long_haul_steel_rates_CS</vt:lpstr>
      <vt:lpstr>Low_level_solid_waste</vt:lpstr>
      <vt:lpstr>Low_level_solid_waste_gate_fee</vt:lpstr>
      <vt:lpstr>Low_level_solid_waste_rate</vt:lpstr>
      <vt:lpstr>Low_risk_cap</vt:lpstr>
      <vt:lpstr>Maintenance_rehab_areas_names_CS</vt:lpstr>
      <vt:lpstr>Maintenance_rehab_areas_rates_CS</vt:lpstr>
      <vt:lpstr>Mechanical_fitter</vt:lpstr>
      <vt:lpstr>Mechanical_fitter_rate</vt:lpstr>
      <vt:lpstr>Medium</vt:lpstr>
      <vt:lpstr>Medium_risk_cap</vt:lpstr>
      <vt:lpstr>Mine_Name</vt:lpstr>
      <vt:lpstr>Mobe_list_vertical</vt:lpstr>
      <vt:lpstr>Mobe_names_CS</vt:lpstr>
      <vt:lpstr>Mobe_rates_CS</vt:lpstr>
      <vt:lpstr>Name_main</vt:lpstr>
      <vt:lpstr>Native</vt:lpstr>
      <vt:lpstr>Native_rolledup_CS</vt:lpstr>
      <vt:lpstr>Native_seed</vt:lpstr>
      <vt:lpstr>Native_seed_application_rate</vt:lpstr>
      <vt:lpstr>Native_seed_rate</vt:lpstr>
      <vt:lpstr>Native_species_seed</vt:lpstr>
      <vt:lpstr>Neutraliser_0.5ML_d</vt:lpstr>
      <vt:lpstr>Neutraliser_0.5ML_d_rate</vt:lpstr>
      <vt:lpstr>Nightly_Patrols_CS</vt:lpstr>
      <vt:lpstr>Nightly_Patrols_rate</vt:lpstr>
      <vt:lpstr>No</vt:lpstr>
      <vt:lpstr>No_cladding</vt:lpstr>
      <vt:lpstr>No_risk_gm_stockpile</vt:lpstr>
      <vt:lpstr>No_risk_ob_piles</vt:lpstr>
      <vt:lpstr>No_vegetation</vt:lpstr>
      <vt:lpstr>None</vt:lpstr>
      <vt:lpstr>Off_site</vt:lpstr>
      <vt:lpstr>Off_site_VENM</vt:lpstr>
      <vt:lpstr>Oil_disposal</vt:lpstr>
      <vt:lpstr>Oil_disposal_gate_fee</vt:lpstr>
      <vt:lpstr>Oil_disposal_gate_fee_rate</vt:lpstr>
      <vt:lpstr>Oily_soil_disposal_distance</vt:lpstr>
      <vt:lpstr>Oily_water_disposal</vt:lpstr>
      <vt:lpstr>Oily_water_disposal_gate_fee</vt:lpstr>
      <vt:lpstr>Oily_water_disposal_gate_fee_rate</vt:lpstr>
      <vt:lpstr>On_site_rock</vt:lpstr>
      <vt:lpstr>Other_and_Sundry</vt:lpstr>
      <vt:lpstr>Oval</vt:lpstr>
      <vt:lpstr>Overburden_Emplacement_Area</vt:lpstr>
      <vt:lpstr>Overburden_structures_L</vt:lpstr>
      <vt:lpstr>Overpass_large_road_or_rail</vt:lpstr>
      <vt:lpstr>Overpass_medium_road_or_rail</vt:lpstr>
      <vt:lpstr>Overpass_names_CS</vt:lpstr>
      <vt:lpstr>Overpass_pavement_thickness</vt:lpstr>
      <vt:lpstr>Overpass_rates_CS</vt:lpstr>
      <vt:lpstr>Overpass_small_road_or_rail</vt:lpstr>
      <vt:lpstr>Panel_tank</vt:lpstr>
      <vt:lpstr>Panhandler</vt:lpstr>
      <vt:lpstr>Panhandler_rate</vt:lpstr>
      <vt:lpstr>Pasture</vt:lpstr>
      <vt:lpstr>Pasture_rolledup_CS</vt:lpstr>
      <vt:lpstr>Pasture_seed</vt:lpstr>
      <vt:lpstr>Pasture_seed_application_rate</vt:lpstr>
      <vt:lpstr>Pasture_seed_rate</vt:lpstr>
      <vt:lpstr>Pasture_species_seed</vt:lpstr>
      <vt:lpstr>Permeability_Testing_points_frequency</vt:lpstr>
      <vt:lpstr>Permeability_Testing_points_per_time</vt:lpstr>
      <vt:lpstr>Photo_ionisation_detector</vt:lpstr>
      <vt:lpstr>Photo_ionisation_detector_rate</vt:lpstr>
      <vt:lpstr>Pipe_50mm_specific_mass</vt:lpstr>
      <vt:lpstr>Pipeline_L</vt:lpstr>
      <vt:lpstr>Pipeline_material_L</vt:lpstr>
      <vt:lpstr>Pipeline_treatment</vt:lpstr>
      <vt:lpstr>Pipelines_names_CS</vt:lpstr>
      <vt:lpstr>Pipelines_rates_CS</vt:lpstr>
      <vt:lpstr>Pits_backfill_source_L</vt:lpstr>
      <vt:lpstr>Plant</vt:lpstr>
      <vt:lpstr>Plant_and_seed_appln_rate_names_Assumptions</vt:lpstr>
      <vt:lpstr>Plant_and_seed_appln_rate_unit_Assumptions</vt:lpstr>
      <vt:lpstr>Plant_and_seed_appln_rates_rates_Assumptions</vt:lpstr>
      <vt:lpstr>Plant_and_seed_apply_fertiliser_names_CS</vt:lpstr>
      <vt:lpstr>Plant_and_seed_apply_plant_names_CS</vt:lpstr>
      <vt:lpstr>Plant_and_seed_apply_plant_rates_CS</vt:lpstr>
      <vt:lpstr>Plant_and_seed_apply_water_names_CS</vt:lpstr>
      <vt:lpstr>Plant_and_seed_apply_water_rates_CS</vt:lpstr>
      <vt:lpstr>Plant_and_seed_buy_water_names_CS</vt:lpstr>
      <vt:lpstr>Plant_and_seed_fertiliser_apply_rates_CS</vt:lpstr>
      <vt:lpstr>Plant_and_seed_fertiliser_buy_names_CS</vt:lpstr>
      <vt:lpstr>Plant_and_seed_fertiliser_buy_rates_CS</vt:lpstr>
      <vt:lpstr>Plant_and_seed_list_L</vt:lpstr>
      <vt:lpstr>Plant_and_seed_names_CS</vt:lpstr>
      <vt:lpstr>Plant_and_seed_rates_CS</vt:lpstr>
      <vt:lpstr>Plant_and_seed_unit_CS</vt:lpstr>
      <vt:lpstr>Plant_and_seed_water_buy_rates_CS</vt:lpstr>
      <vt:lpstr>Plastic_liner_disposal</vt:lpstr>
      <vt:lpstr>Plastic_liner_disposal_gate_fee</vt:lpstr>
      <vt:lpstr>Plastic_liner_disposal_gate_fee_rate</vt:lpstr>
      <vt:lpstr>Plastic_pipe</vt:lpstr>
      <vt:lpstr>Plastic_wall</vt:lpstr>
      <vt:lpstr>Pond_gauging</vt:lpstr>
      <vt:lpstr>Pond_gauging_rate</vt:lpstr>
      <vt:lpstr>Power_poles_names_CS</vt:lpstr>
      <vt:lpstr>Power_poles_rates_CS</vt:lpstr>
      <vt:lpstr>Principal_Consultant</vt:lpstr>
      <vt:lpstr>Principal_Consultant_rate</vt:lpstr>
      <vt:lpstr>Project_Manager</vt:lpstr>
      <vt:lpstr>Project_manager_rate</vt:lpstr>
      <vt:lpstr>Pump_4_inch_dewater</vt:lpstr>
      <vt:lpstr>Pump_4_inch_dewater_rate</vt:lpstr>
      <vt:lpstr>Pump_6_inch_dewater_with_hoses</vt:lpstr>
      <vt:lpstr>Pump_6_inch_dewater_with_hoses_rate</vt:lpstr>
      <vt:lpstr>Rail_load_bin_steel_thickness</vt:lpstr>
      <vt:lpstr>Rail_loading</vt:lpstr>
      <vt:lpstr>Rail_loading_bin</vt:lpstr>
      <vt:lpstr>Rail_names_CS</vt:lpstr>
      <vt:lpstr>Rail_rates_CS</vt:lpstr>
      <vt:lpstr>Rail_tie_spacing</vt:lpstr>
      <vt:lpstr>Rail_units_CS</vt:lpstr>
      <vt:lpstr>Railway_line_specific_mass</vt:lpstr>
      <vt:lpstr>Rainwater_tank_L</vt:lpstr>
      <vt:lpstr>Rates_cost</vt:lpstr>
      <vt:lpstr>Rates_cost_CS</vt:lpstr>
      <vt:lpstr>Rates_headings</vt:lpstr>
      <vt:lpstr>Rates_name</vt:lpstr>
      <vt:lpstr>Rates_soil_seed_add_units_R</vt:lpstr>
      <vt:lpstr>Rates_soil_seed_adds_names_R</vt:lpstr>
      <vt:lpstr>Rates_soil_seed_adds_rates_R</vt:lpstr>
      <vt:lpstr>Rates_unit</vt:lpstr>
      <vt:lpstr>RCE_Summary</vt:lpstr>
      <vt:lpstr>Rectangle</vt:lpstr>
      <vt:lpstr>Remove</vt:lpstr>
      <vt:lpstr>Remove_sediment_and_haul_names_CS</vt:lpstr>
      <vt:lpstr>Remove_sediment_and_haul_rates_CS</vt:lpstr>
      <vt:lpstr>Restricted_solid_waste</vt:lpstr>
      <vt:lpstr>Restricted_solid_waste_gate_fee</vt:lpstr>
      <vt:lpstr>Restricted_solid_waste_rate</vt:lpstr>
      <vt:lpstr>Restricted_waste_distance</vt:lpstr>
      <vt:lpstr>Reverse_Osmosis_1ML_d</vt:lpstr>
      <vt:lpstr>Reverse_Osmosis_1ML_d_rate</vt:lpstr>
      <vt:lpstr>RO_Chemicals</vt:lpstr>
      <vt:lpstr>RO_chemicals_rate</vt:lpstr>
      <vt:lpstr>Rock</vt:lpstr>
      <vt:lpstr>Safety_bund_method</vt:lpstr>
      <vt:lpstr>Salt_density</vt:lpstr>
      <vt:lpstr>Salt_disposal_distance</vt:lpstr>
      <vt:lpstr>Screening_Plant</vt:lpstr>
      <vt:lpstr>Screening_Plant_rate</vt:lpstr>
      <vt:lpstr>Security_Guard</vt:lpstr>
      <vt:lpstr>Security_guard_rate</vt:lpstr>
      <vt:lpstr>Senior_Principal_Consultant</vt:lpstr>
      <vt:lpstr>Senior_Principal_Consultant_rate</vt:lpstr>
      <vt:lpstr>Shaft_backfill</vt:lpstr>
      <vt:lpstr>Shaft_backfill_rate_R</vt:lpstr>
      <vt:lpstr>Shears_325_rate</vt:lpstr>
      <vt:lpstr>Shears_340_rate</vt:lpstr>
      <vt:lpstr>Shears_374_rate</vt:lpstr>
      <vt:lpstr>Shears_S340__fits_320_325_330</vt:lpstr>
      <vt:lpstr>Shears_S365__fits_330_340</vt:lpstr>
      <vt:lpstr>Shears_S390__fits_374_390</vt:lpstr>
      <vt:lpstr>Shovel_Electric_CAT_7495</vt:lpstr>
      <vt:lpstr>Shovel_Electric_rate</vt:lpstr>
      <vt:lpstr>Shovel_Hydraulic_CAT_6090</vt:lpstr>
      <vt:lpstr>Shovel_Hydraulic_rate</vt:lpstr>
      <vt:lpstr>Show</vt:lpstr>
      <vt:lpstr>Silo</vt:lpstr>
      <vt:lpstr>Silo_concrete_pad_thickness</vt:lpstr>
      <vt:lpstr>Silo_steel_thickness</vt:lpstr>
      <vt:lpstr>Single_skin_tank</vt:lpstr>
      <vt:lpstr>SITE_REGISTRATION</vt:lpstr>
      <vt:lpstr>Slope_names_L</vt:lpstr>
      <vt:lpstr>Sludge_density</vt:lpstr>
      <vt:lpstr>Small</vt:lpstr>
      <vt:lpstr>Soil_Augers</vt:lpstr>
      <vt:lpstr>Soil_Augers_rate</vt:lpstr>
      <vt:lpstr>Soil_density</vt:lpstr>
      <vt:lpstr>Soil_density_clay</vt:lpstr>
      <vt:lpstr>Soil_density_sand</vt:lpstr>
      <vt:lpstr>Soil_density_silt</vt:lpstr>
      <vt:lpstr>Soil_recycler</vt:lpstr>
      <vt:lpstr>Soil_recycler_rate</vt:lpstr>
      <vt:lpstr>Soil_sample_kit</vt:lpstr>
      <vt:lpstr>Soil_sample_kit_rate</vt:lpstr>
      <vt:lpstr>Soil_table</vt:lpstr>
      <vt:lpstr>Soils</vt:lpstr>
      <vt:lpstr>Specific_mass_of_structural_steel___columns</vt:lpstr>
      <vt:lpstr>Spray</vt:lpstr>
      <vt:lpstr>Stacker</vt:lpstr>
      <vt:lpstr>Standard_levy_metropolitan</vt:lpstr>
      <vt:lpstr>Standard_levy_metropolitan_rate</vt:lpstr>
      <vt:lpstr>Standard_levy_regional</vt:lpstr>
      <vt:lpstr>Standard_levy_regional_rate</vt:lpstr>
      <vt:lpstr>Steel</vt:lpstr>
      <vt:lpstr>Steel_cable_cut_rate_excavator</vt:lpstr>
      <vt:lpstr>Steel_density</vt:lpstr>
      <vt:lpstr>Steel_disposal</vt:lpstr>
      <vt:lpstr>Steel_disposal_gate_fee</vt:lpstr>
      <vt:lpstr>Steel_disposal_gate_fee_rate</vt:lpstr>
      <vt:lpstr>Steel_disposal_site</vt:lpstr>
      <vt:lpstr>Steel_floor</vt:lpstr>
      <vt:lpstr>Steel_pipe</vt:lpstr>
      <vt:lpstr>Steel_reinforcing_in_concrete</vt:lpstr>
      <vt:lpstr>Steel_rio_cut_rate_excavator</vt:lpstr>
      <vt:lpstr>Steel_roof</vt:lpstr>
      <vt:lpstr>Steel_wall</vt:lpstr>
      <vt:lpstr>Storage_site_distance</vt:lpstr>
      <vt:lpstr>Substation_names_CS</vt:lpstr>
      <vt:lpstr>Substations_L</vt:lpstr>
      <vt:lpstr>Substations_rates_CS</vt:lpstr>
      <vt:lpstr>Surface_cover_list</vt:lpstr>
      <vt:lpstr>Surface_vegetation_list</vt:lpstr>
      <vt:lpstr>Tailings_Storage_Facilities</vt:lpstr>
      <vt:lpstr>Tank_base</vt:lpstr>
      <vt:lpstr>Tank_liner</vt:lpstr>
      <vt:lpstr>Tank_skin</vt:lpstr>
      <vt:lpstr>Tank_top</vt:lpstr>
      <vt:lpstr>Tank_type</vt:lpstr>
      <vt:lpstr>Tank_wall</vt:lpstr>
      <vt:lpstr>Tanker_capacity</vt:lpstr>
      <vt:lpstr>Tanker_liquids_pump_flowrate_oil</vt:lpstr>
      <vt:lpstr>Tanker_liquids_pump_flowrate_water</vt:lpstr>
      <vt:lpstr>Tanks_infra_names_CS</vt:lpstr>
      <vt:lpstr>Tanks_infra_rates_CS</vt:lpstr>
      <vt:lpstr>Tanks_vessels_names_CS</vt:lpstr>
      <vt:lpstr>Tanks_vessels_rates_CS</vt:lpstr>
      <vt:lpstr>Tarpaulin___industrial</vt:lpstr>
      <vt:lpstr>Tarpaulin_rate</vt:lpstr>
      <vt:lpstr>Thickening</vt:lpstr>
      <vt:lpstr>Thickening_tanks_steel_thickness</vt:lpstr>
      <vt:lpstr>Too_small</vt:lpstr>
      <vt:lpstr>top_CS</vt:lpstr>
      <vt:lpstr>Track</vt:lpstr>
      <vt:lpstr>Track_area_arid_names_CS</vt:lpstr>
      <vt:lpstr>Track_area_arid_rates_CS</vt:lpstr>
      <vt:lpstr>Track_area_names_CS</vt:lpstr>
      <vt:lpstr>Track_area_native_names_CS</vt:lpstr>
      <vt:lpstr>Track_area_native_rates_CS</vt:lpstr>
      <vt:lpstr>Track_area_pasture_names_CS</vt:lpstr>
      <vt:lpstr>Track_area_pasture_rates_CS</vt:lpstr>
      <vt:lpstr>Track_area_rates_CS</vt:lpstr>
      <vt:lpstr>Track_length_arid_names_CS</vt:lpstr>
      <vt:lpstr>Track_length_arid_rates_CS</vt:lpstr>
      <vt:lpstr>Track_length_names_CS</vt:lpstr>
      <vt:lpstr>Track_length_native_names_CS</vt:lpstr>
      <vt:lpstr>Track_length_native_rates_CS</vt:lpstr>
      <vt:lpstr>Track_length_pasture_names_CS</vt:lpstr>
      <vt:lpstr>Track_length_pasture_rates_CS</vt:lpstr>
      <vt:lpstr>Track_length_rates_CS</vt:lpstr>
      <vt:lpstr>Track_names_CS</vt:lpstr>
      <vt:lpstr>Track_names_exploration_CS</vt:lpstr>
      <vt:lpstr>Track_rock_gravel_bitumen_cover_thickness</vt:lpstr>
      <vt:lpstr>Track_width</vt:lpstr>
      <vt:lpstr>Transfer_loading_L</vt:lpstr>
      <vt:lpstr>Tree_mature_planting_rate</vt:lpstr>
      <vt:lpstr>Tree_mature_rate</vt:lpstr>
      <vt:lpstr>Trees_mature</vt:lpstr>
      <vt:lpstr>Truck_725</vt:lpstr>
      <vt:lpstr>Truck_725_rate</vt:lpstr>
      <vt:lpstr>Truck_730</vt:lpstr>
      <vt:lpstr>Truck_730_rate</vt:lpstr>
      <vt:lpstr>Truck_735</vt:lpstr>
      <vt:lpstr>Truck_735_rate</vt:lpstr>
      <vt:lpstr>Truck_740</vt:lpstr>
      <vt:lpstr>Truck_740_rate</vt:lpstr>
      <vt:lpstr>Truck_740C__ADT</vt:lpstr>
      <vt:lpstr>Truck_740C_ADT_rate</vt:lpstr>
      <vt:lpstr>Truck_769_770_rate</vt:lpstr>
      <vt:lpstr>Truck_769D__770G</vt:lpstr>
      <vt:lpstr>Truck_773_rate</vt:lpstr>
      <vt:lpstr>Truck_773G</vt:lpstr>
      <vt:lpstr>Truck_777_rate</vt:lpstr>
      <vt:lpstr>Truck_777D_G</vt:lpstr>
      <vt:lpstr>Truck_785_rate</vt:lpstr>
      <vt:lpstr>Truck_785D</vt:lpstr>
      <vt:lpstr>Truck_789_rate</vt:lpstr>
      <vt:lpstr>Truck_789D</vt:lpstr>
      <vt:lpstr>Truck_793_rate</vt:lpstr>
      <vt:lpstr>Truck_793F</vt:lpstr>
      <vt:lpstr>Truck_797_rate</vt:lpstr>
      <vt:lpstr>Truck_797F</vt:lpstr>
      <vt:lpstr>Truck_Flatbed</vt:lpstr>
      <vt:lpstr>Truck_Flatbed_rate</vt:lpstr>
      <vt:lpstr>Truck_load_mass</vt:lpstr>
      <vt:lpstr>Truck_module_speed_loaded</vt:lpstr>
      <vt:lpstr>Truck_module_speed_unloaded</vt:lpstr>
      <vt:lpstr>Truck_module_transport</vt:lpstr>
      <vt:lpstr>Truck_module_transport_rate</vt:lpstr>
      <vt:lpstr>Truck_semi_capacity_m3</vt:lpstr>
      <vt:lpstr>Truck_Semi_tipper</vt:lpstr>
      <vt:lpstr>Truck_semi_tipper_rate</vt:lpstr>
      <vt:lpstr>Truck_shovel</vt:lpstr>
      <vt:lpstr>Truck_travel_speed_off_site___loaded</vt:lpstr>
      <vt:lpstr>Truck_travel_speed_off_site___unloaded</vt:lpstr>
      <vt:lpstr>Truck_travel_speed_on_site___loaded</vt:lpstr>
      <vt:lpstr>Truck_travel_speed_on_site___unloaded</vt:lpstr>
      <vt:lpstr>Truck_vacuum_tanker</vt:lpstr>
      <vt:lpstr>Truck_vacuum_tanker_rate</vt:lpstr>
      <vt:lpstr>Truck_water_tanker</vt:lpstr>
      <vt:lpstr>Truck_water_tanker_rate</vt:lpstr>
      <vt:lpstr>TSF_names_CS</vt:lpstr>
      <vt:lpstr>TSF_rates_CS</vt:lpstr>
      <vt:lpstr>Tube_stock</vt:lpstr>
      <vt:lpstr>Tube_stock_planting_rate</vt:lpstr>
      <vt:lpstr>Tube_stock_rate</vt:lpstr>
      <vt:lpstr>U_g_mine_top_soil_thickness</vt:lpstr>
      <vt:lpstr>Underground_mine_names</vt:lpstr>
      <vt:lpstr>Underground_Mining_Areas</vt:lpstr>
      <vt:lpstr>Unlined</vt:lpstr>
      <vt:lpstr>USER_NOTES</vt:lpstr>
      <vt:lpstr>Utilities_names_CS</vt:lpstr>
      <vt:lpstr>Utilities_rates_CS</vt:lpstr>
      <vt:lpstr>Utilities_units_CS</vt:lpstr>
      <vt:lpstr>Utility_Truck</vt:lpstr>
      <vt:lpstr>Utility_Truck_rate</vt:lpstr>
      <vt:lpstr>VENM_backfill_buy_R</vt:lpstr>
      <vt:lpstr>Vertical_tank</vt:lpstr>
      <vt:lpstr>Very_Low_risk_cap</vt:lpstr>
      <vt:lpstr>Waste_gate_fee_names_R</vt:lpstr>
      <vt:lpstr>Waste_gate_fee_rates_R</vt:lpstr>
      <vt:lpstr>Waste_gate_fee_units_R</vt:lpstr>
      <vt:lpstr>Waste_levy_names_L</vt:lpstr>
      <vt:lpstr>Waste_levy_names_R</vt:lpstr>
      <vt:lpstr>Waste_levy_rates_R</vt:lpstr>
      <vt:lpstr>Waste_names_L</vt:lpstr>
      <vt:lpstr>Waste_qty_units_L</vt:lpstr>
      <vt:lpstr>Water</vt:lpstr>
      <vt:lpstr>Water_Management_Area</vt:lpstr>
      <vt:lpstr>Water_rate</vt:lpstr>
      <vt:lpstr>Water_treatment_names_CS</vt:lpstr>
      <vt:lpstr>Water_treatment_rates_CS</vt:lpstr>
      <vt:lpstr>Water_truck_19kL</vt:lpstr>
      <vt:lpstr>Water_truck_19kL_rate</vt:lpstr>
      <vt:lpstr>Water_truck_30kL</vt:lpstr>
      <vt:lpstr>Water_truck_30kL_rate</vt:lpstr>
      <vt:lpstr>Water_Truck_777G</vt:lpstr>
      <vt:lpstr>Water_truck_777G_rate</vt:lpstr>
      <vt:lpstr>Water_truck_785_rate</vt:lpstr>
      <vt:lpstr>Water_Truck_785D</vt:lpstr>
      <vt:lpstr>Welding_equip_rate</vt:lpstr>
      <vt:lpstr>Welding_Equipment</vt:lpstr>
      <vt:lpstr>Work_platform</vt:lpstr>
      <vt:lpstr>Work_platform_rate</vt:lpstr>
      <vt:lpstr>WRD_names_CS</vt:lpstr>
      <vt:lpstr>WRD_rates_CS</vt:lpstr>
      <vt:lpstr>Yes</vt:lpstr>
      <vt:lpstr>Yes_No_NA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Kevin Simpson</dc:creator>
  <cp:keywords/>
  <dc:description/>
  <cp:lastModifiedBy>Jude Pardey</cp:lastModifiedBy>
  <cp:revision/>
  <dcterms:created xsi:type="dcterms:W3CDTF">2018-04-09T08:48:43Z</dcterms:created>
  <dcterms:modified xsi:type="dcterms:W3CDTF">2026-11-01T22:25:47Z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0x010100FC165F8BDE20FF409E8827477C1A997A</vt:lpwstr>
  </property>
  <property fmtid="{D5CDD505-2E9C-101B-9397-08002B2CF9AE}" pid="3" name="_dlc_DocIdItemGuid">
    <vt:lpwstr>82d10bf5-fd7a-4646-b4c3-76ec9378526f</vt:lpwstr>
  </property>
  <property fmtid="{D5CDD505-2E9C-101B-9397-08002B2CF9AE}" pid="4" name="eDOCS AutoSave">
    <vt:lpwstr>20210602072126729</vt:lpwstr>
  </property>
  <property fmtid="{D5CDD505-2E9C-101B-9397-08002B2CF9AE}" pid="5" name="MediaServiceImageTags">
    <vt:lpwstr/>
  </property>
</Properties>
</file>